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H:\Költségvetési és Pénzügyi csoport\Közös\2020\Közös\KM\2020. évi kv\2020. kv. I. mód\Kihirdetett\"/>
    </mc:Choice>
  </mc:AlternateContent>
  <xr:revisionPtr revIDLastSave="0" documentId="13_ncr:1_{5363B47A-DCC5-4B85-A338-ED8A61D82AEF}" xr6:coauthVersionLast="45" xr6:coauthVersionMax="45" xr10:uidLastSave="{00000000-0000-0000-0000-000000000000}"/>
  <bookViews>
    <workbookView xWindow="0" yWindow="0" windowWidth="28800" windowHeight="17400" firstSheet="2" activeTab="3" xr2:uid="{00000000-000D-0000-FFFF-FFFF00000000}"/>
  </bookViews>
  <sheets>
    <sheet name="1.tábla" sheetId="74" state="hidden" r:id="rId1"/>
    <sheet name="2018-2020mérleg" sheetId="72" state="hidden" r:id="rId2"/>
    <sheet name="bérkomp." sheetId="75" r:id="rId3"/>
    <sheet name="kv.mérleg" sheetId="14" r:id="rId4"/>
    <sheet name="kötelező-nem köt " sheetId="44" state="hidden" r:id="rId5"/>
    <sheet name="intézményi.részl.  " sheetId="1" r:id="rId6"/>
    <sheet name="Köt.nem köt." sheetId="73" state="hidden" r:id="rId7"/>
    <sheet name="Szem.dologi" sheetId="2" r:id="rId8"/>
    <sheet name="Szoc.rász." sheetId="68" state="hidden" r:id="rId9"/>
    <sheet name="Beruházás" sheetId="70" r:id="rId10"/>
    <sheet name="Felújítás" sheetId="71" state="hidden" r:id="rId11"/>
    <sheet name="Int.felh" sheetId="41" state="hidden" r:id="rId12"/>
    <sheet name="Pe.átad., Kölcsönök" sheetId="4" r:id="rId13"/>
    <sheet name="Célf." sheetId="5" r:id="rId14"/>
    <sheet name="létszám" sheetId="15" state="hidden" r:id="rId15"/>
    <sheet name="kölcsönök" sheetId="16" state="hidden" r:id="rId16"/>
    <sheet name="közv.tám." sheetId="12" state="hidden" r:id="rId17"/>
    <sheet name="többéves" sheetId="13" state="hidden" r:id="rId18"/>
    <sheet name="Ei.felh.ütem" sheetId="17" r:id="rId19"/>
    <sheet name="EU tartalom" sheetId="67" state="hidden" r:id="rId20"/>
    <sheet name="Bankfalu" sheetId="63" state="hidden" r:id="rId21"/>
    <sheet name="clld_önk" sheetId="64" state="hidden" r:id="rId22"/>
    <sheet name="clld_művkp." sheetId="65" state="hidden" r:id="rId23"/>
    <sheet name="játszóterek" sheetId="66" state="hidden" r:id="rId24"/>
    <sheet name="Móra Óvoda" sheetId="47" state="hidden" r:id="rId25"/>
    <sheet name="Zöldváros" sheetId="49" state="hidden" r:id="rId26"/>
    <sheet name="Komplex" sheetId="50" state="hidden" r:id="rId27"/>
    <sheet name="Fogl.paktum" sheetId="52" state="hidden" r:id="rId28"/>
    <sheet name="Energetika I." sheetId="53" state="hidden" r:id="rId29"/>
    <sheet name="Energetika II." sheetId="54" state="hidden" r:id="rId30"/>
    <sheet name="Energetika III." sheetId="55" state="hidden" r:id="rId31"/>
    <sheet name="Ipari park" sheetId="58" state="hidden" r:id="rId32"/>
    <sheet name="EFI Iroda" sheetId="59" state="hidden" r:id="rId33"/>
    <sheet name="IPA" sheetId="60" state="hidden" r:id="rId34"/>
    <sheet name="Könyvtár" sheetId="61" state="hidden" r:id="rId35"/>
  </sheets>
  <externalReferences>
    <externalReference r:id="rId36"/>
  </externalReferences>
  <definedNames>
    <definedName name="_10Excel_BuiltIn_Print_Area_1_1_1_1_1_1_1_1_1_1" localSheetId="34">#REF!</definedName>
    <definedName name="_10Excel_BuiltIn_Print_Area_1_1_1_1_1_1_1_1_1_1">#REF!</definedName>
    <definedName name="_10Excel_BuiltIn_Print_Area_1_1_1_1_1_1_1_1_1_1_1" localSheetId="13">#REF!</definedName>
    <definedName name="_10Excel_BuiltIn_Print_Area_1_1_1_1_1_1_1_1_1_1_1" localSheetId="34">#REF!</definedName>
    <definedName name="_10Excel_BuiltIn_Print_Area_1_1_1_1_1_1_1_1_1_1_1" localSheetId="12">#REF!</definedName>
    <definedName name="_10Excel_BuiltIn_Print_Area_1_1_1_1_1_1_1_1_1_1_1">#REF!</definedName>
    <definedName name="_11Excel_BuiltIn_Print_Area_1_1_1_1_1_1_1_1_1_1_1" localSheetId="34">#REF!</definedName>
    <definedName name="_11Excel_BuiltIn_Print_Area_1_1_1_1_1_1_1_1_1_1_1">#REF!</definedName>
    <definedName name="_11Excel_BuiltIn_Print_Area_1_1_1_1_1_1_12_1" localSheetId="13">#REF!</definedName>
    <definedName name="_11Excel_BuiltIn_Print_Area_1_1_1_1_1_1_12_1" localSheetId="34">#REF!</definedName>
    <definedName name="_11Excel_BuiltIn_Print_Area_1_1_1_1_1_1_12_1" localSheetId="12">#REF!</definedName>
    <definedName name="_11Excel_BuiltIn_Print_Area_1_1_1_1_1_1_12_1">#REF!</definedName>
    <definedName name="_12Excel_BuiltIn_Print_Area_1_1_1_1_1_1_12_1" localSheetId="34">#REF!</definedName>
    <definedName name="_12Excel_BuiltIn_Print_Area_1_1_1_1_1_1_12_1">#REF!</definedName>
    <definedName name="_12Excel_BuiltIn_Print_Area_1_1_1_1_1_1_7_1" localSheetId="13">#REF!</definedName>
    <definedName name="_12Excel_BuiltIn_Print_Area_1_1_1_1_1_1_7_1" localSheetId="34">#REF!</definedName>
    <definedName name="_12Excel_BuiltIn_Print_Area_1_1_1_1_1_1_7_1" localSheetId="12">#REF!</definedName>
    <definedName name="_12Excel_BuiltIn_Print_Area_1_1_1_1_1_1_7_1">#REF!</definedName>
    <definedName name="_13Excel_BuiltIn_Print_Area_1_1_1_1_1_1_7_1" localSheetId="34">#REF!</definedName>
    <definedName name="_13Excel_BuiltIn_Print_Area_1_1_1_1_1_1_7_1">#REF!</definedName>
    <definedName name="_13Excel_BuiltIn_Print_Area_1_1_1_1_1_1_8_1" localSheetId="13">#REF!</definedName>
    <definedName name="_13Excel_BuiltIn_Print_Area_1_1_1_1_1_1_8_1" localSheetId="34">#REF!</definedName>
    <definedName name="_13Excel_BuiltIn_Print_Area_1_1_1_1_1_1_8_1" localSheetId="12">#REF!</definedName>
    <definedName name="_13Excel_BuiltIn_Print_Area_1_1_1_1_1_1_8_1">#REF!</definedName>
    <definedName name="_14Excel_BuiltIn_Print_Area_1_1_1_1_1_1_8_1" localSheetId="34">#REF!</definedName>
    <definedName name="_14Excel_BuiltIn_Print_Area_1_1_1_1_1_1_8_1">#REF!</definedName>
    <definedName name="_14Excel_BuiltIn_Print_Area_1_1_1_12_1" localSheetId="13">#REF!</definedName>
    <definedName name="_14Excel_BuiltIn_Print_Area_1_1_1_12_1" localSheetId="34">#REF!</definedName>
    <definedName name="_14Excel_BuiltIn_Print_Area_1_1_1_12_1" localSheetId="12">#REF!</definedName>
    <definedName name="_14Excel_BuiltIn_Print_Area_1_1_1_12_1">#REF!</definedName>
    <definedName name="_15Excel_BuiltIn_Print_Area_1_1_1_12_1" localSheetId="34">#REF!</definedName>
    <definedName name="_15Excel_BuiltIn_Print_Area_1_1_1_12_1">#REF!</definedName>
    <definedName name="_15Excel_BuiltIn_Print_Area_1_1_1_2_1" localSheetId="13">#REF!</definedName>
    <definedName name="_15Excel_BuiltIn_Print_Area_1_1_1_2_1" localSheetId="34">#REF!</definedName>
    <definedName name="_15Excel_BuiltIn_Print_Area_1_1_1_2_1" localSheetId="12">#REF!</definedName>
    <definedName name="_15Excel_BuiltIn_Print_Area_1_1_1_2_1">#REF!</definedName>
    <definedName name="_16Excel_BuiltIn_Print_Area_1_1_1_2_1" localSheetId="34">#REF!</definedName>
    <definedName name="_16Excel_BuiltIn_Print_Area_1_1_1_2_1">#REF!</definedName>
    <definedName name="_16Excel_BuiltIn_Print_Area_1_1_12_1" localSheetId="13">#REF!</definedName>
    <definedName name="_16Excel_BuiltIn_Print_Area_1_1_12_1" localSheetId="34">#REF!</definedName>
    <definedName name="_16Excel_BuiltIn_Print_Area_1_1_12_1" localSheetId="12">#REF!</definedName>
    <definedName name="_16Excel_BuiltIn_Print_Area_1_1_12_1">#REF!</definedName>
    <definedName name="_17Excel_BuiltIn_Print_Area_1_1_12_1" localSheetId="34">#REF!</definedName>
    <definedName name="_17Excel_BuiltIn_Print_Area_1_1_12_1">#REF!</definedName>
    <definedName name="_17Excel_BuiltIn_Print_Area_1_1_12_2" localSheetId="13">#REF!</definedName>
    <definedName name="_17Excel_BuiltIn_Print_Area_1_1_12_2" localSheetId="34">#REF!</definedName>
    <definedName name="_17Excel_BuiltIn_Print_Area_1_1_12_2" localSheetId="12">#REF!</definedName>
    <definedName name="_17Excel_BuiltIn_Print_Area_1_1_12_2">#REF!</definedName>
    <definedName name="_18Excel_BuiltIn_Print_Area_1_1_12_2" localSheetId="34">#REF!</definedName>
    <definedName name="_18Excel_BuiltIn_Print_Area_1_1_12_2">#REF!</definedName>
    <definedName name="_18Excel_BuiltIn_Print_Area_1_1_2_1" localSheetId="13">#REF!</definedName>
    <definedName name="_18Excel_BuiltIn_Print_Area_1_1_2_1" localSheetId="34">#REF!</definedName>
    <definedName name="_18Excel_BuiltIn_Print_Area_1_1_2_1" localSheetId="12">#REF!</definedName>
    <definedName name="_18Excel_BuiltIn_Print_Area_1_1_2_1">#REF!</definedName>
    <definedName name="_19Excel_BuiltIn_Print_Area_1_1_2_1" localSheetId="34">#REF!</definedName>
    <definedName name="_19Excel_BuiltIn_Print_Area_1_1_2_1">#REF!</definedName>
    <definedName name="_19Excel_BuiltIn_Print_Area_1_1_8_1" localSheetId="13">#REF!</definedName>
    <definedName name="_19Excel_BuiltIn_Print_Area_1_1_8_1" localSheetId="34">#REF!</definedName>
    <definedName name="_19Excel_BuiltIn_Print_Area_1_1_8_1" localSheetId="12">#REF!</definedName>
    <definedName name="_19Excel_BuiltIn_Print_Area_1_1_8_1">#REF!</definedName>
    <definedName name="_1ddd_12_1" localSheetId="34">#REF!</definedName>
    <definedName name="_1ddd_12_1">#REF!</definedName>
    <definedName name="_1Excel_BuiltIn_Print_Area_1_1" localSheetId="34">#REF!</definedName>
    <definedName name="_1Excel_BuiltIn_Print_Area_1_1">#REF!</definedName>
    <definedName name="_1Excel_BuiltIn_Print_Area_1_1_1" localSheetId="34">#REF!</definedName>
    <definedName name="_1Excel_BuiltIn_Print_Area_1_1_1">#REF!</definedName>
    <definedName name="_1Excel_BuiltIn_Print_Area_1_1_1_1">NA()</definedName>
    <definedName name="_1Excel_BuiltIn_Print_Area_1_1_1_12" localSheetId="34">#REF!</definedName>
    <definedName name="_1Excel_BuiltIn_Print_Area_1_1_1_12" localSheetId="8">#REF!</definedName>
    <definedName name="_1Excel_BuiltIn_Print_Area_1_1_1_12">#REF!</definedName>
    <definedName name="_1Excel_BuiltIn_Print_Area_1_1_1_2" localSheetId="34">#REF!</definedName>
    <definedName name="_1Excel_BuiltIn_Print_Area_1_1_1_2">#REF!</definedName>
    <definedName name="_1Excel_BuiltIn_Print_Area_1_1_1_7" localSheetId="34">#REF!</definedName>
    <definedName name="_1Excel_BuiltIn_Print_Area_1_1_1_7">#REF!</definedName>
    <definedName name="_1Excel_BuiltIn_Print_Area_1_1_1_8" localSheetId="34">#REF!</definedName>
    <definedName name="_1Excel_BuiltIn_Print_Area_1_1_1_8">#REF!</definedName>
    <definedName name="_1Excel_BuiltIn_Print_Area_1_1_12" localSheetId="34">#REF!</definedName>
    <definedName name="_1Excel_BuiltIn_Print_Area_1_1_12">#REF!</definedName>
    <definedName name="_1Excel_BuiltIn_Print_Area_1_1_2" localSheetId="34">#REF!</definedName>
    <definedName name="_1Excel_BuiltIn_Print_Area_1_1_2">#REF!</definedName>
    <definedName name="_1Excel_BuiltIn_Print_Area_1_1_3" localSheetId="34">#REF!</definedName>
    <definedName name="_1Excel_BuiltIn_Print_Area_1_1_3">#REF!</definedName>
    <definedName name="_1Excel_BuiltIn_Print_Area_1_1_3_12" localSheetId="34">#REF!</definedName>
    <definedName name="_1Excel_BuiltIn_Print_Area_1_1_3_12">#REF!</definedName>
    <definedName name="_1Excel_BuiltIn_Print_Area_1_1_3_2" localSheetId="34">#REF!</definedName>
    <definedName name="_1Excel_BuiltIn_Print_Area_1_1_3_2">#REF!</definedName>
    <definedName name="_1Excel_BuiltIn_Print_Area_1_1_3_7" localSheetId="34">#REF!</definedName>
    <definedName name="_1Excel_BuiltIn_Print_Area_1_1_3_7">#REF!</definedName>
    <definedName name="_1Excel_BuiltIn_Print_Area_1_1_3_8" localSheetId="34">#REF!</definedName>
    <definedName name="_1Excel_BuiltIn_Print_Area_1_1_3_8">#REF!</definedName>
    <definedName name="_1Excel_BuiltIn_Print_Area_1_1_5" localSheetId="34">#REF!</definedName>
    <definedName name="_1Excel_BuiltIn_Print_Area_1_1_5">#REF!</definedName>
    <definedName name="_1Excel_BuiltIn_Print_Area_1_1_5_12" localSheetId="34">#REF!</definedName>
    <definedName name="_1Excel_BuiltIn_Print_Area_1_1_5_12">#REF!</definedName>
    <definedName name="_1Excel_BuiltIn_Print_Area_1_1_5_2" localSheetId="34">#REF!</definedName>
    <definedName name="_1Excel_BuiltIn_Print_Area_1_1_5_2">#REF!</definedName>
    <definedName name="_1Excel_BuiltIn_Print_Area_1_1_5_7" localSheetId="34">#REF!</definedName>
    <definedName name="_1Excel_BuiltIn_Print_Area_1_1_5_7">#REF!</definedName>
    <definedName name="_1Excel_BuiltIn_Print_Area_1_1_5_8" localSheetId="34">#REF!</definedName>
    <definedName name="_1Excel_BuiltIn_Print_Area_1_1_5_8">#REF!</definedName>
    <definedName name="_1Excel_BuiltIn_Print_Area_1_1_7" localSheetId="34">#REF!</definedName>
    <definedName name="_1Excel_BuiltIn_Print_Area_1_1_7">#REF!</definedName>
    <definedName name="_1Excel_BuiltIn_Print_Area_1_1_8" localSheetId="34">#REF!</definedName>
    <definedName name="_1Excel_BuiltIn_Print_Area_1_1_8">#REF!</definedName>
    <definedName name="_20Excel_BuiltIn_Print_Area_1_1_8_1" localSheetId="34">#REF!</definedName>
    <definedName name="_20Excel_BuiltIn_Print_Area_1_1_8_1">#REF!</definedName>
    <definedName name="_20Excel_BuiltIn_Print_Area_1_1_9_1" localSheetId="13">#REF!</definedName>
    <definedName name="_20Excel_BuiltIn_Print_Area_1_1_9_1" localSheetId="34">#REF!</definedName>
    <definedName name="_20Excel_BuiltIn_Print_Area_1_1_9_1" localSheetId="12">#REF!</definedName>
    <definedName name="_20Excel_BuiltIn_Print_Area_1_1_9_1">#REF!</definedName>
    <definedName name="_21Excel_BuiltIn_Print_Area_1_1_9_1" localSheetId="34">#REF!</definedName>
    <definedName name="_21Excel_BuiltIn_Print_Area_1_1_9_1">#REF!</definedName>
    <definedName name="_21Excel_BuiltIn_Print_Area_1_1_9_1_1" localSheetId="13">#REF!</definedName>
    <definedName name="_21Excel_BuiltIn_Print_Area_1_1_9_1_1" localSheetId="34">#REF!</definedName>
    <definedName name="_21Excel_BuiltIn_Print_Area_1_1_9_1_1" localSheetId="12">#REF!</definedName>
    <definedName name="_21Excel_BuiltIn_Print_Area_1_1_9_1_1">#REF!</definedName>
    <definedName name="_22Excel_BuiltIn_Print_Area_1_1_9_1_1" localSheetId="34">#REF!</definedName>
    <definedName name="_22Excel_BuiltIn_Print_Area_1_1_9_1_1">#REF!</definedName>
    <definedName name="_22Excel_BuiltIn_Print_Area_12_1" localSheetId="13">#REF!</definedName>
    <definedName name="_22Excel_BuiltIn_Print_Area_12_1" localSheetId="34">#REF!</definedName>
    <definedName name="_22Excel_BuiltIn_Print_Area_12_1" localSheetId="12">#REF!</definedName>
    <definedName name="_22Excel_BuiltIn_Print_Area_12_1">#REF!</definedName>
    <definedName name="_23Excel_BuiltIn_Print_Area_12_1" localSheetId="34">#REF!</definedName>
    <definedName name="_23Excel_BuiltIn_Print_Area_12_1">#REF!</definedName>
    <definedName name="_23Excel_BuiltIn_Print_Titles_1_1_1">NA()</definedName>
    <definedName name="_24Excel_BuiltIn_Print_Titles_1_1_1">NA()</definedName>
    <definedName name="_24Excel_BuiltIn_Print_Titles_12_1" localSheetId="13">#REF!</definedName>
    <definedName name="_24Excel_BuiltIn_Print_Titles_12_1" localSheetId="34">#REF!</definedName>
    <definedName name="_24Excel_BuiltIn_Print_Titles_12_1" localSheetId="12">#REF!</definedName>
    <definedName name="_24Excel_BuiltIn_Print_Titles_12_1" localSheetId="8">#REF!</definedName>
    <definedName name="_24Excel_BuiltIn_Print_Titles_12_1">#REF!</definedName>
    <definedName name="_25Excel_BuiltIn_Print_Titles_12_1" localSheetId="34">#REF!</definedName>
    <definedName name="_25Excel_BuiltIn_Print_Titles_12_1">#REF!</definedName>
    <definedName name="_25fkeres_12_1" localSheetId="13">#REF!</definedName>
    <definedName name="_25fkeres_12_1" localSheetId="34">#REF!</definedName>
    <definedName name="_25fkeres_12_1" localSheetId="12">#REF!</definedName>
    <definedName name="_25fkeres_12_1">#REF!</definedName>
    <definedName name="_26fkeres_12_1" localSheetId="34">#REF!</definedName>
    <definedName name="_26fkeres_12_1">#REF!</definedName>
    <definedName name="_26fkeres_2_1_1" localSheetId="13">#REF!</definedName>
    <definedName name="_26fkeres_2_1_1" localSheetId="34">#REF!</definedName>
    <definedName name="_26fkeres_2_1_1" localSheetId="12">#REF!</definedName>
    <definedName name="_26fkeres_2_1_1">#REF!</definedName>
    <definedName name="_27fkeres_2_1_1" localSheetId="34">#REF!</definedName>
    <definedName name="_27fkeres_2_1_1">#REF!</definedName>
    <definedName name="_27fkeres_2_12_1" localSheetId="13">#REF!</definedName>
    <definedName name="_27fkeres_2_12_1" localSheetId="34">#REF!</definedName>
    <definedName name="_27fkeres_2_12_1" localSheetId="12">#REF!</definedName>
    <definedName name="_27fkeres_2_12_1">#REF!</definedName>
    <definedName name="_28fkeres_2_12_1" localSheetId="34">#REF!</definedName>
    <definedName name="_28fkeres_2_12_1">#REF!</definedName>
    <definedName name="_28fkeres_20_12_1" localSheetId="13">#REF!</definedName>
    <definedName name="_28fkeres_20_12_1" localSheetId="34">#REF!</definedName>
    <definedName name="_28fkeres_20_12_1" localSheetId="12">#REF!</definedName>
    <definedName name="_28fkeres_20_12_1">#REF!</definedName>
    <definedName name="_29fkeres_20_12_1" localSheetId="34">#REF!</definedName>
    <definedName name="_29fkeres_20_12_1">#REF!</definedName>
    <definedName name="_29FKERES_BLOKK_12_1" localSheetId="13">#REF!</definedName>
    <definedName name="_29FKERES_BLOKK_12_1" localSheetId="34">#REF!</definedName>
    <definedName name="_29FKERES_BLOKK_12_1" localSheetId="12">#REF!</definedName>
    <definedName name="_29FKERES_BLOKK_12_1">#REF!</definedName>
    <definedName name="_2Excel_BuiltIn_Print_Area_1_1" localSheetId="34">#REF!</definedName>
    <definedName name="_2Excel_BuiltIn_Print_Area_1_1">#REF!</definedName>
    <definedName name="_30FKERES_BLOKK_12_1" localSheetId="34">#REF!</definedName>
    <definedName name="_30FKERES_BLOKK_12_1">#REF!</definedName>
    <definedName name="_30FKERES_BLOKK_15_12_1" localSheetId="13">#REF!</definedName>
    <definedName name="_30FKERES_BLOKK_15_12_1" localSheetId="34">#REF!</definedName>
    <definedName name="_30FKERES_BLOKK_15_12_1" localSheetId="12">#REF!</definedName>
    <definedName name="_30FKERES_BLOKK_15_12_1">#REF!</definedName>
    <definedName name="_31FKERES_BLOKK_15_12_1" localSheetId="34">#REF!</definedName>
    <definedName name="_31FKERES_BLOKK_15_12_1">#REF!</definedName>
    <definedName name="_31FKERES_BLOKK_2_1_1" localSheetId="13">#REF!</definedName>
    <definedName name="_31FKERES_BLOKK_2_1_1" localSheetId="34">#REF!</definedName>
    <definedName name="_31FKERES_BLOKK_2_1_1" localSheetId="12">#REF!</definedName>
    <definedName name="_31FKERES_BLOKK_2_1_1">#REF!</definedName>
    <definedName name="_32FKERES_BLOKK_2_1_1" localSheetId="34">#REF!</definedName>
    <definedName name="_32FKERES_BLOKK_2_1_1">#REF!</definedName>
    <definedName name="_32FKERES_BLOKK_2_12_1" localSheetId="13">#REF!</definedName>
    <definedName name="_32FKERES_BLOKK_2_12_1" localSheetId="34">#REF!</definedName>
    <definedName name="_32FKERES_BLOKK_2_12_1" localSheetId="12">#REF!</definedName>
    <definedName name="_32FKERES_BLOKK_2_12_1">#REF!</definedName>
    <definedName name="_33FKERES_BLOKK_2_12_1" localSheetId="34">#REF!</definedName>
    <definedName name="_33FKERES_BLOKK_2_12_1">#REF!</definedName>
    <definedName name="_33FKERES_BLOKK_20_12_1" localSheetId="13">#REF!</definedName>
    <definedName name="_33FKERES_BLOKK_20_12_1" localSheetId="34">#REF!</definedName>
    <definedName name="_33FKERES_BLOKK_20_12_1" localSheetId="12">#REF!</definedName>
    <definedName name="_33FKERES_BLOKK_20_12_1">#REF!</definedName>
    <definedName name="_34FKERES_BLOKK_20_12_1" localSheetId="34">#REF!</definedName>
    <definedName name="_34FKERES_BLOKK_20_12_1">#REF!</definedName>
    <definedName name="_34FKERES_BLOKK_24_12_1" localSheetId="13">#REF!</definedName>
    <definedName name="_34FKERES_BLOKK_24_12_1" localSheetId="34">#REF!</definedName>
    <definedName name="_34FKERES_BLOKK_24_12_1" localSheetId="12">#REF!</definedName>
    <definedName name="_34FKERES_BLOKK_24_12_1">#REF!</definedName>
    <definedName name="_35FKERES_BLOKK_24_12_1" localSheetId="34">#REF!</definedName>
    <definedName name="_35FKERES_BLOKK_24_12_1">#REF!</definedName>
    <definedName name="_35FKERES_BLOKK_28_12_1" localSheetId="13">#REF!</definedName>
    <definedName name="_35FKERES_BLOKK_28_12_1" localSheetId="34">#REF!</definedName>
    <definedName name="_35FKERES_BLOKK_28_12_1" localSheetId="12">#REF!</definedName>
    <definedName name="_35FKERES_BLOKK_28_12_1">#REF!</definedName>
    <definedName name="_36FKERES_BLOKK_28_12_1" localSheetId="34">#REF!</definedName>
    <definedName name="_36FKERES_BLOKK_28_12_1">#REF!</definedName>
    <definedName name="_36FKERES_BLOKK_31_12_1" localSheetId="13">#REF!</definedName>
    <definedName name="_36FKERES_BLOKK_31_12_1" localSheetId="34">#REF!</definedName>
    <definedName name="_36FKERES_BLOKK_31_12_1" localSheetId="12">#REF!</definedName>
    <definedName name="_36FKERES_BLOKK_31_12_1">#REF!</definedName>
    <definedName name="_37FKERES_BLOKK_31_12_1" localSheetId="34">#REF!</definedName>
    <definedName name="_37FKERES_BLOKK_31_12_1">#REF!</definedName>
    <definedName name="_37FKERES_II_12_1" localSheetId="13">#REF!</definedName>
    <definedName name="_37FKERES_II_12_1" localSheetId="34">#REF!</definedName>
    <definedName name="_37FKERES_II_12_1" localSheetId="12">#REF!</definedName>
    <definedName name="_37FKERES_II_12_1">#REF!</definedName>
    <definedName name="_38FKERES_II_12_1" localSheetId="34">#REF!</definedName>
    <definedName name="_38FKERES_II_12_1">#REF!</definedName>
    <definedName name="_38FKERES_II_15_12_1" localSheetId="13">#REF!</definedName>
    <definedName name="_38FKERES_II_15_12_1" localSheetId="34">#REF!</definedName>
    <definedName name="_38FKERES_II_15_12_1" localSheetId="12">#REF!</definedName>
    <definedName name="_38FKERES_II_15_12_1">#REF!</definedName>
    <definedName name="_39FKERES_II_15_12_1" localSheetId="34">#REF!</definedName>
    <definedName name="_39FKERES_II_15_12_1">#REF!</definedName>
    <definedName name="_39FKERES_II_2_1_1" localSheetId="13">#REF!</definedName>
    <definedName name="_39FKERES_II_2_1_1" localSheetId="34">#REF!</definedName>
    <definedName name="_39FKERES_II_2_1_1" localSheetId="12">#REF!</definedName>
    <definedName name="_39FKERES_II_2_1_1">#REF!</definedName>
    <definedName name="_3Excel_BuiltIn_Print_Area_1_1_1" localSheetId="13">#REF!</definedName>
    <definedName name="_3Excel_BuiltIn_Print_Area_1_1_1" localSheetId="5">#REF!</definedName>
    <definedName name="_3Excel_BuiltIn_Print_Area_1_1_1" localSheetId="34">#REF!</definedName>
    <definedName name="_3Excel_BuiltIn_Print_Area_1_1_1" localSheetId="12">#REF!</definedName>
    <definedName name="_3Excel_BuiltIn_Print_Area_1_1_1">#REF!</definedName>
    <definedName name="_40FKERES_II_2_1_1" localSheetId="34">#REF!</definedName>
    <definedName name="_40FKERES_II_2_1_1">#REF!</definedName>
    <definedName name="_40FKERES_II_20_12_1" localSheetId="13">#REF!</definedName>
    <definedName name="_40FKERES_II_20_12_1" localSheetId="34">#REF!</definedName>
    <definedName name="_40FKERES_II_20_12_1" localSheetId="12">#REF!</definedName>
    <definedName name="_40FKERES_II_20_12_1">#REF!</definedName>
    <definedName name="_41FKERES_II_20_12_1" localSheetId="34">#REF!</definedName>
    <definedName name="_41FKERES_II_20_12_1">#REF!</definedName>
    <definedName name="_41FKERES_II_24_12_1" localSheetId="13">#REF!</definedName>
    <definedName name="_41FKERES_II_24_12_1" localSheetId="34">#REF!</definedName>
    <definedName name="_41FKERES_II_24_12_1" localSheetId="12">#REF!</definedName>
    <definedName name="_41FKERES_II_24_12_1">#REF!</definedName>
    <definedName name="_42FKERES_II_24_12_1" localSheetId="34">#REF!</definedName>
    <definedName name="_42FKERES_II_24_12_1">#REF!</definedName>
    <definedName name="_42FKERES_II_28_12_1" localSheetId="13">#REF!</definedName>
    <definedName name="_42FKERES_II_28_12_1" localSheetId="34">#REF!</definedName>
    <definedName name="_42FKERES_II_28_12_1" localSheetId="12">#REF!</definedName>
    <definedName name="_42FKERES_II_28_12_1">#REF!</definedName>
    <definedName name="_43FKERES_II_28_12_1" localSheetId="34">#REF!</definedName>
    <definedName name="_43FKERES_II_28_12_1">#REF!</definedName>
    <definedName name="_43FKERES_II_31_12_1" localSheetId="13">#REF!</definedName>
    <definedName name="_43FKERES_II_31_12_1" localSheetId="34">#REF!</definedName>
    <definedName name="_43FKERES_II_31_12_1" localSheetId="12">#REF!</definedName>
    <definedName name="_43FKERES_II_31_12_1">#REF!</definedName>
    <definedName name="_44FKERES_II_31_12_1" localSheetId="34">#REF!</definedName>
    <definedName name="_44FKERES_II_31_12_1">#REF!</definedName>
    <definedName name="_44FKERES_III_12_1" localSheetId="13">#REF!</definedName>
    <definedName name="_44FKERES_III_12_1" localSheetId="34">#REF!</definedName>
    <definedName name="_44FKERES_III_12_1" localSheetId="12">#REF!</definedName>
    <definedName name="_44FKERES_III_12_1">#REF!</definedName>
    <definedName name="_45FKERES_III_12_1" localSheetId="34">#REF!</definedName>
    <definedName name="_45FKERES_III_12_1">#REF!</definedName>
    <definedName name="_45FKERES_III_15_12_1" localSheetId="13">#REF!</definedName>
    <definedName name="_45FKERES_III_15_12_1" localSheetId="34">#REF!</definedName>
    <definedName name="_45FKERES_III_15_12_1" localSheetId="12">#REF!</definedName>
    <definedName name="_45FKERES_III_15_12_1">#REF!</definedName>
    <definedName name="_46FKERES_III_15_12_1" localSheetId="34">#REF!</definedName>
    <definedName name="_46FKERES_III_15_12_1">#REF!</definedName>
    <definedName name="_46FKERES_III_2_1_1" localSheetId="13">#REF!</definedName>
    <definedName name="_46FKERES_III_2_1_1" localSheetId="34">#REF!</definedName>
    <definedName name="_46FKERES_III_2_1_1" localSheetId="12">#REF!</definedName>
    <definedName name="_46FKERES_III_2_1_1">#REF!</definedName>
    <definedName name="_47FKERES_III_2_1_1" localSheetId="34">#REF!</definedName>
    <definedName name="_47FKERES_III_2_1_1">#REF!</definedName>
    <definedName name="_47FKERES_III_2_12_1" localSheetId="13">#REF!</definedName>
    <definedName name="_47FKERES_III_2_12_1" localSheetId="34">#REF!</definedName>
    <definedName name="_47FKERES_III_2_12_1" localSheetId="12">#REF!</definedName>
    <definedName name="_47FKERES_III_2_12_1">#REF!</definedName>
    <definedName name="_48FKERES_III_2_12_1" localSheetId="34">#REF!</definedName>
    <definedName name="_48FKERES_III_2_12_1">#REF!</definedName>
    <definedName name="_48FKERES_III_20_12_1" localSheetId="13">#REF!</definedName>
    <definedName name="_48FKERES_III_20_12_1" localSheetId="34">#REF!</definedName>
    <definedName name="_48FKERES_III_20_12_1" localSheetId="12">#REF!</definedName>
    <definedName name="_48FKERES_III_20_12_1">#REF!</definedName>
    <definedName name="_49FKERES_III_20_12_1" localSheetId="34">#REF!</definedName>
    <definedName name="_49FKERES_III_20_12_1">#REF!</definedName>
    <definedName name="_49FKERES_III_24_12_1" localSheetId="13">#REF!</definedName>
    <definedName name="_49FKERES_III_24_12_1" localSheetId="34">#REF!</definedName>
    <definedName name="_49FKERES_III_24_12_1" localSheetId="12">#REF!</definedName>
    <definedName name="_49FKERES_III_24_12_1">#REF!</definedName>
    <definedName name="_4Excel_BuiltIn_Print_Area_1_1_1" localSheetId="34">#REF!</definedName>
    <definedName name="_4Excel_BuiltIn_Print_Area_1_1_1">#REF!</definedName>
    <definedName name="_4Excel_BuiltIn_Print_Area_1_1_1_1" localSheetId="13">#REF!</definedName>
    <definedName name="_4Excel_BuiltIn_Print_Area_1_1_1_1" localSheetId="34">#REF!</definedName>
    <definedName name="_4Excel_BuiltIn_Print_Area_1_1_1_1" localSheetId="12">#REF!</definedName>
    <definedName name="_4Excel_BuiltIn_Print_Area_1_1_1_1">#REF!</definedName>
    <definedName name="_50FKERES_III_24_12_1" localSheetId="34">#REF!</definedName>
    <definedName name="_50FKERES_III_24_12_1">#REF!</definedName>
    <definedName name="_50FKERES_III_28_12_1" localSheetId="13">#REF!</definedName>
    <definedName name="_50FKERES_III_28_12_1" localSheetId="34">#REF!</definedName>
    <definedName name="_50FKERES_III_28_12_1" localSheetId="12">#REF!</definedName>
    <definedName name="_50FKERES_III_28_12_1">#REF!</definedName>
    <definedName name="_51FKERES_III_28_12_1" localSheetId="34">#REF!</definedName>
    <definedName name="_51FKERES_III_28_12_1">#REF!</definedName>
    <definedName name="_51FKERES_III_31_12_1" localSheetId="13">#REF!</definedName>
    <definedName name="_51FKERES_III_31_12_1" localSheetId="34">#REF!</definedName>
    <definedName name="_51FKERES_III_31_12_1" localSheetId="12">#REF!</definedName>
    <definedName name="_51FKERES_III_31_12_1">#REF!</definedName>
    <definedName name="_52FKERES_III_31_12_1" localSheetId="34">#REF!</definedName>
    <definedName name="_52FKERES_III_31_12_1">#REF!</definedName>
    <definedName name="_52FKERES_IV_12_1" localSheetId="13">#REF!</definedName>
    <definedName name="_52FKERES_IV_12_1" localSheetId="34">#REF!</definedName>
    <definedName name="_52FKERES_IV_12_1" localSheetId="12">#REF!</definedName>
    <definedName name="_52FKERES_IV_12_1">#REF!</definedName>
    <definedName name="_53FKERES_IV_12_1" localSheetId="34">#REF!</definedName>
    <definedName name="_53FKERES_IV_12_1">#REF!</definedName>
    <definedName name="_53FKERES_IV_15_12_1" localSheetId="13">#REF!</definedName>
    <definedName name="_53FKERES_IV_15_12_1" localSheetId="34">#REF!</definedName>
    <definedName name="_53FKERES_IV_15_12_1" localSheetId="12">#REF!</definedName>
    <definedName name="_53FKERES_IV_15_12_1">#REF!</definedName>
    <definedName name="_54FKERES_IV_15_12_1" localSheetId="34">#REF!</definedName>
    <definedName name="_54FKERES_IV_15_12_1">#REF!</definedName>
    <definedName name="_54FKERES_IV_2_1_1" localSheetId="13">#REF!</definedName>
    <definedName name="_54FKERES_IV_2_1_1" localSheetId="34">#REF!</definedName>
    <definedName name="_54FKERES_IV_2_1_1" localSheetId="12">#REF!</definedName>
    <definedName name="_54FKERES_IV_2_1_1">#REF!</definedName>
    <definedName name="_55FKERES_IV_2_1_1" localSheetId="34">#REF!</definedName>
    <definedName name="_55FKERES_IV_2_1_1">#REF!</definedName>
    <definedName name="_55FKERES_IV_20_12_1" localSheetId="13">#REF!</definedName>
    <definedName name="_55FKERES_IV_20_12_1" localSheetId="34">#REF!</definedName>
    <definedName name="_55FKERES_IV_20_12_1" localSheetId="12">#REF!</definedName>
    <definedName name="_55FKERES_IV_20_12_1">#REF!</definedName>
    <definedName name="_56FKERES_IV_20_12_1" localSheetId="34">#REF!</definedName>
    <definedName name="_56FKERES_IV_20_12_1">#REF!</definedName>
    <definedName name="_56FKERES_IV_24_12_1" localSheetId="13">#REF!</definedName>
    <definedName name="_56FKERES_IV_24_12_1" localSheetId="34">#REF!</definedName>
    <definedName name="_56FKERES_IV_24_12_1" localSheetId="12">#REF!</definedName>
    <definedName name="_56FKERES_IV_24_12_1">#REF!</definedName>
    <definedName name="_57FKERES_IV_24_12_1" localSheetId="34">#REF!</definedName>
    <definedName name="_57FKERES_IV_24_12_1">#REF!</definedName>
    <definedName name="_57k_1_1_1" localSheetId="13">#REF!</definedName>
    <definedName name="_57k_1_1_1" localSheetId="34">#REF!</definedName>
    <definedName name="_57k_1_1_1" localSheetId="12">#REF!</definedName>
    <definedName name="_57k_1_1_1">#REF!</definedName>
    <definedName name="_58k_1_1_1" localSheetId="34">#REF!</definedName>
    <definedName name="_58k_1_1_1">#REF!</definedName>
    <definedName name="_58k_1_1_1_1">NA()</definedName>
    <definedName name="_59k_1_1_1_1">NA()</definedName>
    <definedName name="_59k_1_12_1" localSheetId="13">#REF!</definedName>
    <definedName name="_59k_1_12_1" localSheetId="34">#REF!</definedName>
    <definedName name="_59k_1_12_1" localSheetId="12">#REF!</definedName>
    <definedName name="_59k_1_12_1" localSheetId="8">#REF!</definedName>
    <definedName name="_59k_1_12_1">#REF!</definedName>
    <definedName name="_5Excel_BuiltIn_Print_Area_1_1_1_1" localSheetId="34">#REF!</definedName>
    <definedName name="_5Excel_BuiltIn_Print_Area_1_1_1_1">#REF!</definedName>
    <definedName name="_5Excel_BuiltIn_Print_Area_1_1_1_1_1" localSheetId="13">#REF!</definedName>
    <definedName name="_5Excel_BuiltIn_Print_Area_1_1_1_1_1" localSheetId="34">#REF!</definedName>
    <definedName name="_5Excel_BuiltIn_Print_Area_1_1_1_1_1" localSheetId="12">#REF!</definedName>
    <definedName name="_5Excel_BuiltIn_Print_Area_1_1_1_1_1">#REF!</definedName>
    <definedName name="_60k_1_12_1" localSheetId="34">#REF!</definedName>
    <definedName name="_60k_1_12_1">#REF!</definedName>
    <definedName name="_60k_12_1" localSheetId="13">#REF!</definedName>
    <definedName name="_60k_12_1" localSheetId="34">#REF!</definedName>
    <definedName name="_60k_12_1" localSheetId="12">#REF!</definedName>
    <definedName name="_60k_12_1">#REF!</definedName>
    <definedName name="_61k_12_1" localSheetId="34">#REF!</definedName>
    <definedName name="_61k_12_1">#REF!</definedName>
    <definedName name="_61k_2_1_1" localSheetId="13">#REF!</definedName>
    <definedName name="_61k_2_1_1" localSheetId="34">#REF!</definedName>
    <definedName name="_61k_2_1_1" localSheetId="12">#REF!</definedName>
    <definedName name="_61k_2_1_1">#REF!</definedName>
    <definedName name="_62k_2_1_1" localSheetId="34">#REF!</definedName>
    <definedName name="_62k_2_1_1">#REF!</definedName>
    <definedName name="_62k_2_12_1" localSheetId="13">#REF!</definedName>
    <definedName name="_62k_2_12_1" localSheetId="34">#REF!</definedName>
    <definedName name="_62k_2_12_1" localSheetId="12">#REF!</definedName>
    <definedName name="_62k_2_12_1">#REF!</definedName>
    <definedName name="_63k_2_12_1" localSheetId="34">#REF!</definedName>
    <definedName name="_63k_2_12_1">#REF!</definedName>
    <definedName name="_63k_20_12_1" localSheetId="13">#REF!</definedName>
    <definedName name="_63k_20_12_1" localSheetId="34">#REF!</definedName>
    <definedName name="_63k_20_12_1" localSheetId="12">#REF!</definedName>
    <definedName name="_63k_20_12_1">#REF!</definedName>
    <definedName name="_64k_20_12_1" localSheetId="34">#REF!</definedName>
    <definedName name="_64k_20_12_1">#REF!</definedName>
    <definedName name="_64k_5_12_1" localSheetId="13">#REF!</definedName>
    <definedName name="_64k_5_12_1" localSheetId="34">#REF!</definedName>
    <definedName name="_64k_5_12_1" localSheetId="12">#REF!</definedName>
    <definedName name="_64k_5_12_1">#REF!</definedName>
    <definedName name="_65k_5_12_1" localSheetId="34">#REF!</definedName>
    <definedName name="_65k_5_12_1">#REF!</definedName>
    <definedName name="_65k_6_12_1" localSheetId="13">#REF!</definedName>
    <definedName name="_65k_6_12_1" localSheetId="34">#REF!</definedName>
    <definedName name="_65k_6_12_1" localSheetId="12">#REF!</definedName>
    <definedName name="_65k_6_12_1">#REF!</definedName>
    <definedName name="_66k_6_12_1" localSheetId="34">#REF!</definedName>
    <definedName name="_66k_6_12_1">#REF!</definedName>
    <definedName name="_66keres_12_1" localSheetId="13">#REF!</definedName>
    <definedName name="_66keres_12_1" localSheetId="34">#REF!</definedName>
    <definedName name="_66keres_12_1" localSheetId="12">#REF!</definedName>
    <definedName name="_66keres_12_1">#REF!</definedName>
    <definedName name="_67keres_12_1" localSheetId="34">#REF!</definedName>
    <definedName name="_67keres_12_1">#REF!</definedName>
    <definedName name="_67keres_2_1_1" localSheetId="13">#REF!</definedName>
    <definedName name="_67keres_2_1_1" localSheetId="34">#REF!</definedName>
    <definedName name="_67keres_2_1_1" localSheetId="12">#REF!</definedName>
    <definedName name="_67keres_2_1_1">#REF!</definedName>
    <definedName name="_68keres_2_1_1" localSheetId="34">#REF!</definedName>
    <definedName name="_68keres_2_1_1">#REF!</definedName>
    <definedName name="_68keres_2_12_1" localSheetId="13">#REF!</definedName>
    <definedName name="_68keres_2_12_1" localSheetId="34">#REF!</definedName>
    <definedName name="_68keres_2_12_1" localSheetId="12">#REF!</definedName>
    <definedName name="_68keres_2_12_1">#REF!</definedName>
    <definedName name="_69keres_2_12_1" localSheetId="34">#REF!</definedName>
    <definedName name="_69keres_2_12_1">#REF!</definedName>
    <definedName name="_69keres_20_12_1" localSheetId="13">#REF!</definedName>
    <definedName name="_69keres_20_12_1" localSheetId="34">#REF!</definedName>
    <definedName name="_69keres_20_12_1" localSheetId="12">#REF!</definedName>
    <definedName name="_69keres_20_12_1">#REF!</definedName>
    <definedName name="_6Excel_BuiltIn_Print_Area_1_1_1_1_1" localSheetId="34">#REF!</definedName>
    <definedName name="_6Excel_BuiltIn_Print_Area_1_1_1_1_1">#REF!</definedName>
    <definedName name="_6Excel_BuiltIn_Print_Area_1_1_1_1_1_1" localSheetId="13">#REF!</definedName>
    <definedName name="_6Excel_BuiltIn_Print_Area_1_1_1_1_1_1" localSheetId="34">#REF!</definedName>
    <definedName name="_6Excel_BuiltIn_Print_Area_1_1_1_1_1_1" localSheetId="12">#REF!</definedName>
    <definedName name="_6Excel_BuiltIn_Print_Area_1_1_1_1_1_1">#REF!</definedName>
    <definedName name="_70keres_20_12_1" localSheetId="34">#REF!</definedName>
    <definedName name="_70keres_20_12_1">#REF!</definedName>
    <definedName name="_70kitart_12_1" localSheetId="13">#REF!</definedName>
    <definedName name="_70kitart_12_1" localSheetId="34">#REF!</definedName>
    <definedName name="_70kitart_12_1" localSheetId="12">#REF!</definedName>
    <definedName name="_70kitart_12_1">#REF!</definedName>
    <definedName name="_71kitart_12_1" localSheetId="34">#REF!</definedName>
    <definedName name="_71kitart_12_1">#REF!</definedName>
    <definedName name="_71kitart_2_1_1" localSheetId="13">#REF!</definedName>
    <definedName name="_71kitart_2_1_1" localSheetId="34">#REF!</definedName>
    <definedName name="_71kitart_2_1_1" localSheetId="12">#REF!</definedName>
    <definedName name="_71kitart_2_1_1">#REF!</definedName>
    <definedName name="_72kitart_2_1_1" localSheetId="34">#REF!</definedName>
    <definedName name="_72kitart_2_1_1">#REF!</definedName>
    <definedName name="_72kitart_2_12_1" localSheetId="13">#REF!</definedName>
    <definedName name="_72kitart_2_12_1" localSheetId="34">#REF!</definedName>
    <definedName name="_72kitart_2_12_1" localSheetId="12">#REF!</definedName>
    <definedName name="_72kitart_2_12_1">#REF!</definedName>
    <definedName name="_73kitart_2_12_1" localSheetId="34">#REF!</definedName>
    <definedName name="_73kitart_2_12_1">#REF!</definedName>
    <definedName name="_73kitart_20_12_1" localSheetId="13">#REF!</definedName>
    <definedName name="_73kitart_20_12_1" localSheetId="34">#REF!</definedName>
    <definedName name="_73kitart_20_12_1" localSheetId="12">#REF!</definedName>
    <definedName name="_73kitart_20_12_1">#REF!</definedName>
    <definedName name="_74kitart_20_12_1" localSheetId="34">#REF!</definedName>
    <definedName name="_74kitart_20_12_1">#REF!</definedName>
    <definedName name="_74kkk_12_1" localSheetId="13">#REF!</definedName>
    <definedName name="_74kkk_12_1" localSheetId="34">#REF!</definedName>
    <definedName name="_74kkk_12_1" localSheetId="12">#REF!</definedName>
    <definedName name="_74kkk_12_1">#REF!</definedName>
    <definedName name="_75kkk_12_1" localSheetId="34">#REF!</definedName>
    <definedName name="_75kkk_12_1">#REF!</definedName>
    <definedName name="_75kkk_2_1_1" localSheetId="13">#REF!</definedName>
    <definedName name="_75kkk_2_1_1" localSheetId="34">#REF!</definedName>
    <definedName name="_75kkk_2_1_1" localSheetId="12">#REF!</definedName>
    <definedName name="_75kkk_2_1_1">#REF!</definedName>
    <definedName name="_76kkk_2_1_1" localSheetId="34">#REF!</definedName>
    <definedName name="_76kkk_2_1_1">#REF!</definedName>
    <definedName name="_76kkk_20_12_1" localSheetId="13">#REF!</definedName>
    <definedName name="_76kkk_20_12_1" localSheetId="34">#REF!</definedName>
    <definedName name="_76kkk_20_12_1" localSheetId="12">#REF!</definedName>
    <definedName name="_76kkk_20_12_1">#REF!</definedName>
    <definedName name="_77kkk_20_12_1" localSheetId="34">#REF!</definedName>
    <definedName name="_77kkk_20_12_1">#REF!</definedName>
    <definedName name="_77KOTO0403_12_1" localSheetId="13">#REF!</definedName>
    <definedName name="_77KOTO0403_12_1" localSheetId="34">#REF!</definedName>
    <definedName name="_77KOTO0403_12_1" localSheetId="12">#REF!</definedName>
    <definedName name="_77KOTO0403_12_1">#REF!</definedName>
    <definedName name="_78KOTO0403_12_1" localSheetId="34">#REF!</definedName>
    <definedName name="_78KOTO0403_12_1">#REF!</definedName>
    <definedName name="_78KOTO0403_2_1_1" localSheetId="13">#REF!</definedName>
    <definedName name="_78KOTO0403_2_1_1" localSheetId="34">#REF!</definedName>
    <definedName name="_78KOTO0403_2_1_1" localSheetId="12">#REF!</definedName>
    <definedName name="_78KOTO0403_2_1_1">#REF!</definedName>
    <definedName name="_79KOTO0403_2_1_1" localSheetId="34">#REF!</definedName>
    <definedName name="_79KOTO0403_2_1_1">#REF!</definedName>
    <definedName name="_79KOTO0403_2_12_1" localSheetId="13">#REF!</definedName>
    <definedName name="_79KOTO0403_2_12_1" localSheetId="34">#REF!</definedName>
    <definedName name="_79KOTO0403_2_12_1" localSheetId="12">#REF!</definedName>
    <definedName name="_79KOTO0403_2_12_1">#REF!</definedName>
    <definedName name="_7Excel_BuiltIn_Print_Area_1_1_1_1_1_1" localSheetId="34">#REF!</definedName>
    <definedName name="_7Excel_BuiltIn_Print_Area_1_1_1_1_1_1">#REF!</definedName>
    <definedName name="_7Excel_BuiltIn_Print_Area_1_1_1_1_1_1_1" localSheetId="13">#REF!</definedName>
    <definedName name="_7Excel_BuiltIn_Print_Area_1_1_1_1_1_1_1" localSheetId="34">#REF!</definedName>
    <definedName name="_7Excel_BuiltIn_Print_Area_1_1_1_1_1_1_1" localSheetId="12">#REF!</definedName>
    <definedName name="_7Excel_BuiltIn_Print_Area_1_1_1_1_1_1_1">#REF!</definedName>
    <definedName name="_80KOTO0403_2_12_1" localSheetId="34">#REF!</definedName>
    <definedName name="_80KOTO0403_2_12_1">#REF!</definedName>
    <definedName name="_80KOTO0403_20_12_1" localSheetId="13">#REF!</definedName>
    <definedName name="_80KOTO0403_20_12_1" localSheetId="34">#REF!</definedName>
    <definedName name="_80KOTO0403_20_12_1" localSheetId="12">#REF!</definedName>
    <definedName name="_80KOTO0403_20_12_1">#REF!</definedName>
    <definedName name="_81KOTO0403_20_12_1" localSheetId="34">#REF!</definedName>
    <definedName name="_81KOTO0403_20_12_1">#REF!</definedName>
    <definedName name="_8Excel_BuiltIn_Print_Area_1_1_1_1_1_1_1" localSheetId="34">#REF!</definedName>
    <definedName name="_8Excel_BuiltIn_Print_Area_1_1_1_1_1_1_1">#REF!</definedName>
    <definedName name="_8Excel_BuiltIn_Print_Area_1_1_1_1_1_1_1_1">NA()</definedName>
    <definedName name="_9Excel_BuiltIn_Print_Area_1_1_1_1_1_1_1_1">NA()</definedName>
    <definedName name="_9Excel_BuiltIn_Print_Area_1_1_1_1_1_1_1_1_1_1" localSheetId="13">#REF!</definedName>
    <definedName name="_9Excel_BuiltIn_Print_Area_1_1_1_1_1_1_1_1_1_1" localSheetId="34">#REF!</definedName>
    <definedName name="_9Excel_BuiltIn_Print_Area_1_1_1_1_1_1_1_1_1_1" localSheetId="12">#REF!</definedName>
    <definedName name="_9Excel_BuiltIn_Print_Area_1_1_1_1_1_1_1_1_1_1" localSheetId="8">#REF!</definedName>
    <definedName name="_9Excel_BuiltIn_Print_Area_1_1_1_1_1_1_1_1_1_1">#REF!</definedName>
    <definedName name="anikó" localSheetId="13">#REF!</definedName>
    <definedName name="anikó" localSheetId="34">#REF!</definedName>
    <definedName name="anikó" localSheetId="12">#REF!</definedName>
    <definedName name="anikó">#REF!</definedName>
    <definedName name="area2" localSheetId="13">#REF!</definedName>
    <definedName name="area2" localSheetId="34">#REF!</definedName>
    <definedName name="area2" localSheetId="12">#REF!</definedName>
    <definedName name="area2">#REF!</definedName>
    <definedName name="area2_1">NA()</definedName>
    <definedName name="area2_12" localSheetId="13">#REF!</definedName>
    <definedName name="area2_12" localSheetId="34">#REF!</definedName>
    <definedName name="area2_12" localSheetId="12">#REF!</definedName>
    <definedName name="area2_12" localSheetId="8">#REF!</definedName>
    <definedName name="area2_12">#REF!</definedName>
    <definedName name="area2_7" localSheetId="34">#REF!</definedName>
    <definedName name="area2_7">#REF!</definedName>
    <definedName name="area2_8" localSheetId="34">#REF!</definedName>
    <definedName name="area2_8">#REF!</definedName>
    <definedName name="beszámoló" localSheetId="34">#REF!</definedName>
    <definedName name="beszámoló">#REF!</definedName>
    <definedName name="ddd" localSheetId="5">#REF!</definedName>
    <definedName name="ddd" localSheetId="34">#REF!</definedName>
    <definedName name="ddd">#REF!</definedName>
    <definedName name="ddd_1" localSheetId="34">#REF!</definedName>
    <definedName name="ddd_1">#REF!</definedName>
    <definedName name="ddd_10" localSheetId="34">#REF!</definedName>
    <definedName name="ddd_10">#REF!</definedName>
    <definedName name="ddd_10_12" localSheetId="34">#REF!</definedName>
    <definedName name="ddd_10_12">#REF!</definedName>
    <definedName name="ddd_10_7" localSheetId="34">#REF!</definedName>
    <definedName name="ddd_10_7">#REF!</definedName>
    <definedName name="ddd_10_8" localSheetId="34">#REF!</definedName>
    <definedName name="ddd_10_8">#REF!</definedName>
    <definedName name="ddd_11" localSheetId="34">#REF!</definedName>
    <definedName name="ddd_11">#REF!</definedName>
    <definedName name="ddd_11_1" localSheetId="34">#REF!</definedName>
    <definedName name="ddd_11_1">#REF!</definedName>
    <definedName name="ddd_11_1_1" localSheetId="34">#REF!</definedName>
    <definedName name="ddd_11_1_1">#REF!</definedName>
    <definedName name="ddd_11_1_1_1">NA()</definedName>
    <definedName name="ddd_11_1_1_12" localSheetId="34">#REF!</definedName>
    <definedName name="ddd_11_1_1_12" localSheetId="8">#REF!</definedName>
    <definedName name="ddd_11_1_1_12">#REF!</definedName>
    <definedName name="ddd_11_1_1_2" localSheetId="34">#REF!</definedName>
    <definedName name="ddd_11_1_1_2">#REF!</definedName>
    <definedName name="ddd_11_1_1_7" localSheetId="34">#REF!</definedName>
    <definedName name="ddd_11_1_1_7">#REF!</definedName>
    <definedName name="ddd_11_1_1_8" localSheetId="34">#REF!</definedName>
    <definedName name="ddd_11_1_1_8">#REF!</definedName>
    <definedName name="ddd_11_1_12" localSheetId="34">#REF!</definedName>
    <definedName name="ddd_11_1_12">#REF!</definedName>
    <definedName name="ddd_11_1_2" localSheetId="34">#REF!</definedName>
    <definedName name="ddd_11_1_2">#REF!</definedName>
    <definedName name="ddd_11_1_7" localSheetId="34">#REF!</definedName>
    <definedName name="ddd_11_1_7">#REF!</definedName>
    <definedName name="ddd_11_1_8" localSheetId="34">#REF!</definedName>
    <definedName name="ddd_11_1_8">#REF!</definedName>
    <definedName name="ddd_11_12" localSheetId="34">#REF!</definedName>
    <definedName name="ddd_11_12">#REF!</definedName>
    <definedName name="ddd_11_3" localSheetId="34">#REF!</definedName>
    <definedName name="ddd_11_3">#REF!</definedName>
    <definedName name="ddd_11_3_12" localSheetId="34">#REF!</definedName>
    <definedName name="ddd_11_3_12">#REF!</definedName>
    <definedName name="ddd_11_3_2" localSheetId="34">#REF!</definedName>
    <definedName name="ddd_11_3_2">#REF!</definedName>
    <definedName name="ddd_11_3_7" localSheetId="34">#REF!</definedName>
    <definedName name="ddd_11_3_7">#REF!</definedName>
    <definedName name="ddd_11_3_8" localSheetId="34">#REF!</definedName>
    <definedName name="ddd_11_3_8">#REF!</definedName>
    <definedName name="ddd_11_5" localSheetId="34">#REF!</definedName>
    <definedName name="ddd_11_5">#REF!</definedName>
    <definedName name="ddd_11_5_12" localSheetId="34">#REF!</definedName>
    <definedName name="ddd_11_5_12">#REF!</definedName>
    <definedName name="ddd_11_5_2" localSheetId="34">#REF!</definedName>
    <definedName name="ddd_11_5_2">#REF!</definedName>
    <definedName name="ddd_11_5_7" localSheetId="34">#REF!</definedName>
    <definedName name="ddd_11_5_7">#REF!</definedName>
    <definedName name="ddd_11_5_8" localSheetId="34">#REF!</definedName>
    <definedName name="ddd_11_5_8">#REF!</definedName>
    <definedName name="ddd_11_7" localSheetId="34">#REF!</definedName>
    <definedName name="ddd_11_7">#REF!</definedName>
    <definedName name="ddd_11_8" localSheetId="34">#REF!</definedName>
    <definedName name="ddd_11_8">#REF!</definedName>
    <definedName name="ddd_12" localSheetId="5">#REF!</definedName>
    <definedName name="ddd_12" localSheetId="34">#REF!</definedName>
    <definedName name="ddd_12">#REF!</definedName>
    <definedName name="ddd_12_1">NA()</definedName>
    <definedName name="ddd_12_10" localSheetId="34">#REF!</definedName>
    <definedName name="ddd_12_10" localSheetId="8">#REF!</definedName>
    <definedName name="ddd_12_10">#REF!</definedName>
    <definedName name="ddd_12_10_12" localSheetId="34">#REF!</definedName>
    <definedName name="ddd_12_10_12">#REF!</definedName>
    <definedName name="ddd_12_10_7" localSheetId="34">#REF!</definedName>
    <definedName name="ddd_12_10_7">#REF!</definedName>
    <definedName name="ddd_12_10_8" localSheetId="34">#REF!</definedName>
    <definedName name="ddd_12_10_8">#REF!</definedName>
    <definedName name="ddd_12_12" localSheetId="34">#REF!</definedName>
    <definedName name="ddd_12_12">#REF!</definedName>
    <definedName name="ddd_12_7" localSheetId="34">#REF!</definedName>
    <definedName name="ddd_12_7">#REF!</definedName>
    <definedName name="ddd_12_8" localSheetId="34">#REF!</definedName>
    <definedName name="ddd_12_8">#REF!</definedName>
    <definedName name="ddd_2" localSheetId="34">#REF!</definedName>
    <definedName name="ddd_2">#REF!</definedName>
    <definedName name="ddd_3" localSheetId="34">#REF!</definedName>
    <definedName name="ddd_3">#REF!</definedName>
    <definedName name="ddd_4" localSheetId="34">#REF!</definedName>
    <definedName name="ddd_4">#REF!</definedName>
    <definedName name="ddd_7" localSheetId="34">#REF!</definedName>
    <definedName name="ddd_7">#REF!</definedName>
    <definedName name="ddd_8" localSheetId="34">#REF!</definedName>
    <definedName name="ddd_8">#REF!</definedName>
    <definedName name="ddd_9" localSheetId="34">#REF!</definedName>
    <definedName name="ddd_9">#REF!</definedName>
    <definedName name="ddd_9_1">NA()</definedName>
    <definedName name="ddd_9_12" localSheetId="34">#REF!</definedName>
    <definedName name="ddd_9_12" localSheetId="8">#REF!</definedName>
    <definedName name="ddd_9_12">#REF!</definedName>
    <definedName name="ddd_9_7" localSheetId="34">#REF!</definedName>
    <definedName name="ddd_9_7">#REF!</definedName>
    <definedName name="ddd_9_8" localSheetId="34">#REF!</definedName>
    <definedName name="ddd_9_8">#REF!</definedName>
    <definedName name="Exc" localSheetId="34">#REF!</definedName>
    <definedName name="Exc">#REF!</definedName>
    <definedName name="Excel_BuilIn_Print_Area_1_11_1" localSheetId="34">#REF!</definedName>
    <definedName name="Excel_BuilIn_Print_Area_1_11_1">#REF!</definedName>
    <definedName name="Excel_BuilIn_Print_Area_1_11_1_12" localSheetId="34">#REF!</definedName>
    <definedName name="Excel_BuilIn_Print_Area_1_11_1_12">#REF!</definedName>
    <definedName name="Excel_BuilIn_Print_Area_1_11_1_2" localSheetId="34">#REF!</definedName>
    <definedName name="Excel_BuilIn_Print_Area_1_11_1_2">#REF!</definedName>
    <definedName name="Excel_BuilIn_Print_Area_1_11_1_8" localSheetId="34">#REF!</definedName>
    <definedName name="Excel_BuilIn_Print_Area_1_11_1_8">#REF!</definedName>
    <definedName name="Excel_BuiltIn_Print_Area_1" localSheetId="5">#REF!</definedName>
    <definedName name="Excel_BuiltIn_Print_Area_1" localSheetId="34">#REF!</definedName>
    <definedName name="Excel_BuiltIn_Print_Area_1">#REF!</definedName>
    <definedName name="Excel_BuiltIn_Print_Area_1_1" localSheetId="5">#REF!</definedName>
    <definedName name="Excel_BuiltIn_Print_Area_1_1" localSheetId="34">#REF!</definedName>
    <definedName name="Excel_BuiltIn_Print_Area_1_1">#REF!</definedName>
    <definedName name="Excel_BuiltIn_Print_Area_1_1_1" localSheetId="5">#REF!</definedName>
    <definedName name="Excel_BuiltIn_Print_Area_1_1_1" localSheetId="34">#REF!</definedName>
    <definedName name="Excel_BuiltIn_Print_Area_1_1_1">#REF!</definedName>
    <definedName name="Excel_BuiltIn_Print_Area_1_1_1_1" localSheetId="5">#REF!</definedName>
    <definedName name="Excel_BuiltIn_Print_Area_1_1_1_1" localSheetId="34">#REF!</definedName>
    <definedName name="Excel_BuiltIn_Print_Area_1_1_1_1">#REF!</definedName>
    <definedName name="Excel_BuiltIn_Print_Area_1_1_1_1_1" localSheetId="34">#REF!</definedName>
    <definedName name="Excel_BuiltIn_Print_Area_1_1_1_1_1">#REF!</definedName>
    <definedName name="Excel_BuiltIn_Print_Area_1_1_1_1_1_1" localSheetId="34">#REF!</definedName>
    <definedName name="Excel_BuiltIn_Print_Area_1_1_1_1_1_1">#REF!</definedName>
    <definedName name="Excel_BuiltIn_Print_Area_1_1_1_1_1_1_1" localSheetId="34">#REF!</definedName>
    <definedName name="Excel_BuiltIn_Print_Area_1_1_1_1_1_1_1">#REF!</definedName>
    <definedName name="Excel_BuiltIn_Print_Area_1_1_1_1_1_1_1_1">NA()</definedName>
    <definedName name="Excel_BuiltIn_Print_Area_1_1_1_1_1_1_1_1_1" localSheetId="34">#REF!</definedName>
    <definedName name="Excel_BuiltIn_Print_Area_1_1_1_1_1_1_1_1_1" localSheetId="8">#REF!</definedName>
    <definedName name="Excel_BuiltIn_Print_Area_1_1_1_1_1_1_1_1_1">#REF!</definedName>
    <definedName name="Excel_BuiltIn_Print_Area_1_1_1_1_1_1_1_1_1_1" localSheetId="34">#REF!</definedName>
    <definedName name="Excel_BuiltIn_Print_Area_1_1_1_1_1_1_1_1_1_1">#REF!</definedName>
    <definedName name="Excel_BuiltIn_Print_Area_1_1_1_1_1_1_1_12" localSheetId="34">#REF!</definedName>
    <definedName name="Excel_BuiltIn_Print_Area_1_1_1_1_1_1_1_12">#REF!</definedName>
    <definedName name="Excel_BuiltIn_Print_Area_1_1_1_1_1_1_1_7" localSheetId="34">#REF!</definedName>
    <definedName name="Excel_BuiltIn_Print_Area_1_1_1_1_1_1_1_7">#REF!</definedName>
    <definedName name="Excel_BuiltIn_Print_Area_1_1_1_1_1_1_1_8" localSheetId="34">#REF!</definedName>
    <definedName name="Excel_BuiltIn_Print_Area_1_1_1_1_1_1_1_8">#REF!</definedName>
    <definedName name="Excel_BuiltIn_Print_Area_1_1_1_1_1_1_12" localSheetId="34">#REF!</definedName>
    <definedName name="Excel_BuiltIn_Print_Area_1_1_1_1_1_1_12">#REF!</definedName>
    <definedName name="Excel_BuiltIn_Print_Area_1_1_1_1_1_1_7" localSheetId="34">#REF!</definedName>
    <definedName name="Excel_BuiltIn_Print_Area_1_1_1_1_1_1_7">#REF!</definedName>
    <definedName name="Excel_BuiltIn_Print_Area_1_1_1_1_1_1_8" localSheetId="34">#REF!</definedName>
    <definedName name="Excel_BuiltIn_Print_Area_1_1_1_1_1_1_8">#REF!</definedName>
    <definedName name="Excel_BuiltIn_Print_Area_1_1_1_1_1_12" localSheetId="34">#REF!</definedName>
    <definedName name="Excel_BuiltIn_Print_Area_1_1_1_1_1_12">#REF!</definedName>
    <definedName name="Excel_BuiltIn_Print_Area_1_1_1_1_1_7" localSheetId="34">#REF!</definedName>
    <definedName name="Excel_BuiltIn_Print_Area_1_1_1_1_1_7">#REF!</definedName>
    <definedName name="Excel_BuiltIn_Print_Area_1_1_1_1_1_8" localSheetId="34">#REF!</definedName>
    <definedName name="Excel_BuiltIn_Print_Area_1_1_1_1_1_8">#REF!</definedName>
    <definedName name="Excel_BuiltIn_Print_Area_1_1_1_1_10" localSheetId="34">#REF!</definedName>
    <definedName name="Excel_BuiltIn_Print_Area_1_1_1_1_10">#REF!</definedName>
    <definedName name="Excel_BuiltIn_Print_Area_1_1_1_1_10_12" localSheetId="34">#REF!</definedName>
    <definedName name="Excel_BuiltIn_Print_Area_1_1_1_1_10_12">#REF!</definedName>
    <definedName name="Excel_BuiltIn_Print_Area_1_1_1_1_10_7" localSheetId="34">#REF!</definedName>
    <definedName name="Excel_BuiltIn_Print_Area_1_1_1_1_10_7">#REF!</definedName>
    <definedName name="Excel_BuiltIn_Print_Area_1_1_1_1_10_8" localSheetId="34">#REF!</definedName>
    <definedName name="Excel_BuiltIn_Print_Area_1_1_1_1_10_8">#REF!</definedName>
    <definedName name="Excel_BuiltIn_Print_Area_1_1_1_1_12" localSheetId="34">#REF!</definedName>
    <definedName name="Excel_BuiltIn_Print_Area_1_1_1_1_12">#REF!</definedName>
    <definedName name="Excel_BuiltIn_Print_Area_1_1_1_1_2" localSheetId="34">#REF!</definedName>
    <definedName name="Excel_BuiltIn_Print_Area_1_1_1_1_2">#REF!</definedName>
    <definedName name="Excel_BuiltIn_Print_Area_1_1_1_1_7" localSheetId="34">#REF!</definedName>
    <definedName name="Excel_BuiltIn_Print_Area_1_1_1_1_7">#REF!</definedName>
    <definedName name="Excel_BuiltIn_Print_Area_1_1_1_1_8" localSheetId="34">#REF!</definedName>
    <definedName name="Excel_BuiltIn_Print_Area_1_1_1_1_8">#REF!</definedName>
    <definedName name="Excel_BuiltIn_Print_Area_1_1_1_10" localSheetId="34">#REF!</definedName>
    <definedName name="Excel_BuiltIn_Print_Area_1_1_1_10">#REF!</definedName>
    <definedName name="Excel_BuiltIn_Print_Area_1_1_1_10_1" localSheetId="34">#REF!</definedName>
    <definedName name="Excel_BuiltIn_Print_Area_1_1_1_10_1">#REF!</definedName>
    <definedName name="Excel_BuiltIn_Print_Area_1_1_1_10_1_12" localSheetId="34">#REF!</definedName>
    <definedName name="Excel_BuiltIn_Print_Area_1_1_1_10_1_12">#REF!</definedName>
    <definedName name="Excel_BuiltIn_Print_Area_1_1_1_10_1_7" localSheetId="34">#REF!</definedName>
    <definedName name="Excel_BuiltIn_Print_Area_1_1_1_10_1_7">#REF!</definedName>
    <definedName name="Excel_BuiltIn_Print_Area_1_1_1_10_1_8" localSheetId="34">#REF!</definedName>
    <definedName name="Excel_BuiltIn_Print_Area_1_1_1_10_1_8">#REF!</definedName>
    <definedName name="Excel_BuiltIn_Print_Area_1_1_1_10_12" localSheetId="34">#REF!</definedName>
    <definedName name="Excel_BuiltIn_Print_Area_1_1_1_10_12">#REF!</definedName>
    <definedName name="Excel_BuiltIn_Print_Area_1_1_1_10_7" localSheetId="34">#REF!</definedName>
    <definedName name="Excel_BuiltIn_Print_Area_1_1_1_10_7">#REF!</definedName>
    <definedName name="Excel_BuiltIn_Print_Area_1_1_1_10_8" localSheetId="34">#REF!</definedName>
    <definedName name="Excel_BuiltIn_Print_Area_1_1_1_10_8">#REF!</definedName>
    <definedName name="Excel_BuiltIn_Print_Area_1_1_1_11" localSheetId="34">#REF!</definedName>
    <definedName name="Excel_BuiltIn_Print_Area_1_1_1_11">#REF!</definedName>
    <definedName name="Excel_BuiltIn_Print_Area_1_1_1_11_12" localSheetId="34">#REF!</definedName>
    <definedName name="Excel_BuiltIn_Print_Area_1_1_1_11_12">#REF!</definedName>
    <definedName name="Excel_BuiltIn_Print_Area_1_1_1_11_7" localSheetId="34">#REF!</definedName>
    <definedName name="Excel_BuiltIn_Print_Area_1_1_1_11_7">#REF!</definedName>
    <definedName name="Excel_BuiltIn_Print_Area_1_1_1_11_8" localSheetId="34">#REF!</definedName>
    <definedName name="Excel_BuiltIn_Print_Area_1_1_1_11_8">#REF!</definedName>
    <definedName name="Excel_BuiltIn_Print_Area_1_1_1_12" localSheetId="34">#REF!</definedName>
    <definedName name="Excel_BuiltIn_Print_Area_1_1_1_12">#REF!</definedName>
    <definedName name="Excel_BuiltIn_Print_Area_1_1_1_2" localSheetId="34">#REF!</definedName>
    <definedName name="Excel_BuiltIn_Print_Area_1_1_1_2">#REF!</definedName>
    <definedName name="Excel_BuiltIn_Print_Area_1_1_1_2_1" localSheetId="34">#REF!</definedName>
    <definedName name="Excel_BuiltIn_Print_Area_1_1_1_2_1">#REF!</definedName>
    <definedName name="Excel_BuiltIn_Print_Area_1_1_1_3" localSheetId="34">#REF!</definedName>
    <definedName name="Excel_BuiltIn_Print_Area_1_1_1_3">#REF!</definedName>
    <definedName name="Excel_BuiltIn_Print_Area_1_1_1_4" localSheetId="34">#REF!</definedName>
    <definedName name="Excel_BuiltIn_Print_Area_1_1_1_4">#REF!</definedName>
    <definedName name="Excel_BuiltIn_Print_Area_1_1_1_7" localSheetId="34">#REF!</definedName>
    <definedName name="Excel_BuiltIn_Print_Area_1_1_1_7">#REF!</definedName>
    <definedName name="Excel_BuiltIn_Print_Area_1_1_1_8" localSheetId="34">#REF!</definedName>
    <definedName name="Excel_BuiltIn_Print_Area_1_1_1_8">#REF!</definedName>
    <definedName name="Excel_BuiltIn_Print_Area_1_1_10" localSheetId="34">#REF!</definedName>
    <definedName name="Excel_BuiltIn_Print_Area_1_1_10">#REF!</definedName>
    <definedName name="Excel_BuiltIn_Print_Area_1_1_10_1" localSheetId="34">#REF!</definedName>
    <definedName name="Excel_BuiltIn_Print_Area_1_1_10_1">#REF!</definedName>
    <definedName name="Excel_BuiltIn_Print_Area_1_1_10_1_1">NA()</definedName>
    <definedName name="Excel_BuiltIn_Print_Area_1_1_10_1_12" localSheetId="34">#REF!</definedName>
    <definedName name="Excel_BuiltIn_Print_Area_1_1_10_1_12" localSheetId="8">#REF!</definedName>
    <definedName name="Excel_BuiltIn_Print_Area_1_1_10_1_12">#REF!</definedName>
    <definedName name="Excel_BuiltIn_Print_Area_1_1_10_1_7" localSheetId="34">#REF!</definedName>
    <definedName name="Excel_BuiltIn_Print_Area_1_1_10_1_7">#REF!</definedName>
    <definedName name="Excel_BuiltIn_Print_Area_1_1_10_1_8" localSheetId="34">#REF!</definedName>
    <definedName name="Excel_BuiltIn_Print_Area_1_1_10_1_8">#REF!</definedName>
    <definedName name="Excel_BuiltIn_Print_Area_1_1_10_12" localSheetId="34">#REF!</definedName>
    <definedName name="Excel_BuiltIn_Print_Area_1_1_10_12">#REF!</definedName>
    <definedName name="Excel_BuiltIn_Print_Area_1_1_10_2" localSheetId="34">#REF!</definedName>
    <definedName name="Excel_BuiltIn_Print_Area_1_1_10_2">#REF!</definedName>
    <definedName name="Excel_BuiltIn_Print_Area_1_1_10_2_12" localSheetId="34">#REF!</definedName>
    <definedName name="Excel_BuiltIn_Print_Area_1_1_10_2_12">#REF!</definedName>
    <definedName name="Excel_BuiltIn_Print_Area_1_1_10_2_7" localSheetId="34">#REF!</definedName>
    <definedName name="Excel_BuiltIn_Print_Area_1_1_10_2_7">#REF!</definedName>
    <definedName name="Excel_BuiltIn_Print_Area_1_1_10_2_8" localSheetId="34">#REF!</definedName>
    <definedName name="Excel_BuiltIn_Print_Area_1_1_10_2_8">#REF!</definedName>
    <definedName name="Excel_BuiltIn_Print_Area_1_1_10_7" localSheetId="34">#REF!</definedName>
    <definedName name="Excel_BuiltIn_Print_Area_1_1_10_7">#REF!</definedName>
    <definedName name="Excel_BuiltIn_Print_Area_1_1_10_8" localSheetId="34">#REF!</definedName>
    <definedName name="Excel_BuiltIn_Print_Area_1_1_10_8">#REF!</definedName>
    <definedName name="Excel_BuiltIn_Print_Area_1_1_11" localSheetId="34">#REF!</definedName>
    <definedName name="Excel_BuiltIn_Print_Area_1_1_11">#REF!</definedName>
    <definedName name="Excel_BuiltIn_Print_Area_1_1_11_1" localSheetId="34">#REF!</definedName>
    <definedName name="Excel_BuiltIn_Print_Area_1_1_11_1">#REF!</definedName>
    <definedName name="Excel_BuiltIn_Print_Area_1_1_11_1_1" localSheetId="34">#REF!</definedName>
    <definedName name="Excel_BuiltIn_Print_Area_1_1_11_1_1">#REF!</definedName>
    <definedName name="Excel_BuiltIn_Print_Area_1_1_11_1_1_1">NA()</definedName>
    <definedName name="Excel_BuiltIn_Print_Area_1_1_11_1_1_12" localSheetId="34">#REF!</definedName>
    <definedName name="Excel_BuiltIn_Print_Area_1_1_11_1_1_12" localSheetId="8">#REF!</definedName>
    <definedName name="Excel_BuiltIn_Print_Area_1_1_11_1_1_12">#REF!</definedName>
    <definedName name="Excel_BuiltIn_Print_Area_1_1_11_1_1_2" localSheetId="34">#REF!</definedName>
    <definedName name="Excel_BuiltIn_Print_Area_1_1_11_1_1_2">#REF!</definedName>
    <definedName name="Excel_BuiltIn_Print_Area_1_1_11_1_1_7" localSheetId="34">#REF!</definedName>
    <definedName name="Excel_BuiltIn_Print_Area_1_1_11_1_1_7">#REF!</definedName>
    <definedName name="Excel_BuiltIn_Print_Area_1_1_11_1_1_8" localSheetId="34">#REF!</definedName>
    <definedName name="Excel_BuiltIn_Print_Area_1_1_11_1_1_8">#REF!</definedName>
    <definedName name="Excel_BuiltIn_Print_Area_1_1_11_1_12" localSheetId="34">#REF!</definedName>
    <definedName name="Excel_BuiltIn_Print_Area_1_1_11_1_12">#REF!</definedName>
    <definedName name="Excel_BuiltIn_Print_Area_1_1_11_1_2" localSheetId="34">#REF!</definedName>
    <definedName name="Excel_BuiltIn_Print_Area_1_1_11_1_2">#REF!</definedName>
    <definedName name="Excel_BuiltIn_Print_Area_1_1_11_1_7" localSheetId="34">#REF!</definedName>
    <definedName name="Excel_BuiltIn_Print_Area_1_1_11_1_7">#REF!</definedName>
    <definedName name="Excel_BuiltIn_Print_Area_1_1_11_1_8" localSheetId="34">#REF!</definedName>
    <definedName name="Excel_BuiltIn_Print_Area_1_1_11_1_8">#REF!</definedName>
    <definedName name="Excel_BuiltIn_Print_Area_1_1_11_12" localSheetId="34">#REF!</definedName>
    <definedName name="Excel_BuiltIn_Print_Area_1_1_11_12">#REF!</definedName>
    <definedName name="Excel_BuiltIn_Print_Area_1_1_11_3" localSheetId="34">#REF!</definedName>
    <definedName name="Excel_BuiltIn_Print_Area_1_1_11_3">#REF!</definedName>
    <definedName name="Excel_BuiltIn_Print_Area_1_1_11_3_12" localSheetId="34">#REF!</definedName>
    <definedName name="Excel_BuiltIn_Print_Area_1_1_11_3_12">#REF!</definedName>
    <definedName name="Excel_BuiltIn_Print_Area_1_1_11_3_2" localSheetId="34">#REF!</definedName>
    <definedName name="Excel_BuiltIn_Print_Area_1_1_11_3_2">#REF!</definedName>
    <definedName name="Excel_BuiltIn_Print_Area_1_1_11_3_7" localSheetId="34">#REF!</definedName>
    <definedName name="Excel_BuiltIn_Print_Area_1_1_11_3_7">#REF!</definedName>
    <definedName name="Excel_BuiltIn_Print_Area_1_1_11_3_8" localSheetId="34">#REF!</definedName>
    <definedName name="Excel_BuiltIn_Print_Area_1_1_11_3_8">#REF!</definedName>
    <definedName name="Excel_BuiltIn_Print_Area_1_1_11_5" localSheetId="34">#REF!</definedName>
    <definedName name="Excel_BuiltIn_Print_Area_1_1_11_5">#REF!</definedName>
    <definedName name="Excel_BuiltIn_Print_Area_1_1_11_5_12" localSheetId="34">#REF!</definedName>
    <definedName name="Excel_BuiltIn_Print_Area_1_1_11_5_12">#REF!</definedName>
    <definedName name="Excel_BuiltIn_Print_Area_1_1_11_5_2" localSheetId="34">#REF!</definedName>
    <definedName name="Excel_BuiltIn_Print_Area_1_1_11_5_2">#REF!</definedName>
    <definedName name="Excel_BuiltIn_Print_Area_1_1_11_5_7" localSheetId="34">#REF!</definedName>
    <definedName name="Excel_BuiltIn_Print_Area_1_1_11_5_7">#REF!</definedName>
    <definedName name="Excel_BuiltIn_Print_Area_1_1_11_5_8" localSheetId="34">#REF!</definedName>
    <definedName name="Excel_BuiltIn_Print_Area_1_1_11_5_8">#REF!</definedName>
    <definedName name="Excel_BuiltIn_Print_Area_1_1_11_7" localSheetId="34">#REF!</definedName>
    <definedName name="Excel_BuiltIn_Print_Area_1_1_11_7">#REF!</definedName>
    <definedName name="Excel_BuiltIn_Print_Area_1_1_11_8" localSheetId="34">#REF!</definedName>
    <definedName name="Excel_BuiltIn_Print_Area_1_1_11_8">#REF!</definedName>
    <definedName name="Excel_BuiltIn_Print_Area_1_1_12" localSheetId="5">#REF!</definedName>
    <definedName name="Excel_BuiltIn_Print_Area_1_1_12" localSheetId="34">#REF!</definedName>
    <definedName name="Excel_BuiltIn_Print_Area_1_1_12">#REF!</definedName>
    <definedName name="Excel_BuiltIn_Print_Area_1_1_12_1">NA()</definedName>
    <definedName name="Excel_BuiltIn_Print_Area_1_1_12_10" localSheetId="34">#REF!</definedName>
    <definedName name="Excel_BuiltIn_Print_Area_1_1_12_10" localSheetId="8">#REF!</definedName>
    <definedName name="Excel_BuiltIn_Print_Area_1_1_12_10">#REF!</definedName>
    <definedName name="Excel_BuiltIn_Print_Area_1_1_12_10_12" localSheetId="34">#REF!</definedName>
    <definedName name="Excel_BuiltIn_Print_Area_1_1_12_10_12">#REF!</definedName>
    <definedName name="Excel_BuiltIn_Print_Area_1_1_12_10_7" localSheetId="34">#REF!</definedName>
    <definedName name="Excel_BuiltIn_Print_Area_1_1_12_10_7">#REF!</definedName>
    <definedName name="Excel_BuiltIn_Print_Area_1_1_12_10_8" localSheetId="34">#REF!</definedName>
    <definedName name="Excel_BuiltIn_Print_Area_1_1_12_10_8">#REF!</definedName>
    <definedName name="Excel_BuiltIn_Print_Area_1_1_12_12" localSheetId="34">#REF!</definedName>
    <definedName name="Excel_BuiltIn_Print_Area_1_1_12_12">#REF!</definedName>
    <definedName name="Excel_BuiltIn_Print_Area_1_1_12_7" localSheetId="34">#REF!</definedName>
    <definedName name="Excel_BuiltIn_Print_Area_1_1_12_7">#REF!</definedName>
    <definedName name="Excel_BuiltIn_Print_Area_1_1_12_8" localSheetId="34">#REF!</definedName>
    <definedName name="Excel_BuiltIn_Print_Area_1_1_12_8">#REF!</definedName>
    <definedName name="Excel_BuiltIn_Print_Area_1_1_2" localSheetId="34">#REF!</definedName>
    <definedName name="Excel_BuiltIn_Print_Area_1_1_2">#REF!</definedName>
    <definedName name="Excel_BuiltIn_Print_Area_1_1_2_1" localSheetId="34">#REF!</definedName>
    <definedName name="Excel_BuiltIn_Print_Area_1_1_2_1">#REF!</definedName>
    <definedName name="Excel_BuiltIn_Print_Area_1_1_3" localSheetId="34">#REF!</definedName>
    <definedName name="Excel_BuiltIn_Print_Area_1_1_3">#REF!</definedName>
    <definedName name="Excel_BuiltIn_Print_Area_1_1_4" localSheetId="34">#REF!</definedName>
    <definedName name="Excel_BuiltIn_Print_Area_1_1_4">#REF!</definedName>
    <definedName name="Excel_BuiltIn_Print_Area_1_1_7" localSheetId="34">#REF!</definedName>
    <definedName name="Excel_BuiltIn_Print_Area_1_1_7">#REF!</definedName>
    <definedName name="Excel_BuiltIn_Print_Area_1_1_8" localSheetId="34">#REF!</definedName>
    <definedName name="Excel_BuiltIn_Print_Area_1_1_8">#REF!</definedName>
    <definedName name="Excel_BuiltIn_Print_Area_1_1_9" localSheetId="34">#REF!</definedName>
    <definedName name="Excel_BuiltIn_Print_Area_1_1_9">#REF!</definedName>
    <definedName name="Excel_BuiltIn_Print_Area_1_1_9_1" localSheetId="34">#REF!</definedName>
    <definedName name="Excel_BuiltIn_Print_Area_1_1_9_1">#REF!</definedName>
    <definedName name="Excel_BuiltIn_Print_Area_1_1_9_1_1">NA()</definedName>
    <definedName name="Excel_BuiltIn_Print_Area_1_1_9_1_12" localSheetId="34">#REF!</definedName>
    <definedName name="Excel_BuiltIn_Print_Area_1_1_9_1_12" localSheetId="8">#REF!</definedName>
    <definedName name="Excel_BuiltIn_Print_Area_1_1_9_1_12">#REF!</definedName>
    <definedName name="Excel_BuiltIn_Print_Area_1_1_9_1_2">NA()</definedName>
    <definedName name="Excel_BuiltIn_Print_Area_1_1_9_1_7" localSheetId="34">#REF!</definedName>
    <definedName name="Excel_BuiltIn_Print_Area_1_1_9_1_7" localSheetId="8">#REF!</definedName>
    <definedName name="Excel_BuiltIn_Print_Area_1_1_9_1_7">#REF!</definedName>
    <definedName name="Excel_BuiltIn_Print_Area_1_1_9_1_8" localSheetId="34">#REF!</definedName>
    <definedName name="Excel_BuiltIn_Print_Area_1_1_9_1_8">#REF!</definedName>
    <definedName name="Excel_BuiltIn_Print_Area_1_1_9_12" localSheetId="34">#REF!</definedName>
    <definedName name="Excel_BuiltIn_Print_Area_1_1_9_12">#REF!</definedName>
    <definedName name="Excel_BuiltIn_Print_Area_1_1_9_7" localSheetId="34">#REF!</definedName>
    <definedName name="Excel_BuiltIn_Print_Area_1_1_9_7">#REF!</definedName>
    <definedName name="Excel_BuiltIn_Print_Area_1_1_9_8" localSheetId="34">#REF!</definedName>
    <definedName name="Excel_BuiltIn_Print_Area_1_1_9_8">#REF!</definedName>
    <definedName name="Excel_BuiltIn_Print_Area_1_10" localSheetId="34">#REF!</definedName>
    <definedName name="Excel_BuiltIn_Print_Area_1_10">#REF!</definedName>
    <definedName name="Excel_BuiltIn_Print_Area_1_10_1" localSheetId="34">#REF!</definedName>
    <definedName name="Excel_BuiltIn_Print_Area_1_10_1">#REF!</definedName>
    <definedName name="Excel_BuiltIn_Print_Area_1_10_1_1">NA()</definedName>
    <definedName name="Excel_BuiltIn_Print_Area_1_10_1_12" localSheetId="34">#REF!</definedName>
    <definedName name="Excel_BuiltIn_Print_Area_1_10_1_12" localSheetId="8">#REF!</definedName>
    <definedName name="Excel_BuiltIn_Print_Area_1_10_1_12">#REF!</definedName>
    <definedName name="Excel_BuiltIn_Print_Area_1_10_1_7" localSheetId="34">#REF!</definedName>
    <definedName name="Excel_BuiltIn_Print_Area_1_10_1_7">#REF!</definedName>
    <definedName name="Excel_BuiltIn_Print_Area_1_10_1_8" localSheetId="34">#REF!</definedName>
    <definedName name="Excel_BuiltIn_Print_Area_1_10_1_8">#REF!</definedName>
    <definedName name="Excel_BuiltIn_Print_Area_1_10_12" localSheetId="34">#REF!</definedName>
    <definedName name="Excel_BuiltIn_Print_Area_1_10_12">#REF!</definedName>
    <definedName name="Excel_BuiltIn_Print_Area_1_10_7" localSheetId="34">#REF!</definedName>
    <definedName name="Excel_BuiltIn_Print_Area_1_10_7">#REF!</definedName>
    <definedName name="Excel_BuiltIn_Print_Area_1_10_8" localSheetId="34">#REF!</definedName>
    <definedName name="Excel_BuiltIn_Print_Area_1_10_8">#REF!</definedName>
    <definedName name="Excel_BuiltIn_Print_Area_1_11" localSheetId="34">#REF!</definedName>
    <definedName name="Excel_BuiltIn_Print_Area_1_11">#REF!</definedName>
    <definedName name="Excel_BuiltIn_Print_Area_1_11_1" localSheetId="34">#REF!</definedName>
    <definedName name="Excel_BuiltIn_Print_Area_1_11_1">#REF!</definedName>
    <definedName name="Excel_BuiltIn_Print_Area_1_11_1_1" localSheetId="34">#REF!</definedName>
    <definedName name="Excel_BuiltIn_Print_Area_1_11_1_1">#REF!</definedName>
    <definedName name="Excel_BuiltIn_Print_Area_1_11_1_1_1">NA()</definedName>
    <definedName name="Excel_BuiltIn_Print_Area_1_11_1_1_12" localSheetId="34">#REF!</definedName>
    <definedName name="Excel_BuiltIn_Print_Area_1_11_1_1_12" localSheetId="8">#REF!</definedName>
    <definedName name="Excel_BuiltIn_Print_Area_1_11_1_1_12">#REF!</definedName>
    <definedName name="Excel_BuiltIn_Print_Area_1_11_1_1_2" localSheetId="34">#REF!</definedName>
    <definedName name="Excel_BuiltIn_Print_Area_1_11_1_1_2">#REF!</definedName>
    <definedName name="Excel_BuiltIn_Print_Area_1_11_1_1_7" localSheetId="34">#REF!</definedName>
    <definedName name="Excel_BuiltIn_Print_Area_1_11_1_1_7">#REF!</definedName>
    <definedName name="Excel_BuiltIn_Print_Area_1_11_1_1_8" localSheetId="34">#REF!</definedName>
    <definedName name="Excel_BuiltIn_Print_Area_1_11_1_1_8">#REF!</definedName>
    <definedName name="Excel_BuiltIn_Print_Area_1_11_1_12" localSheetId="34">#REF!</definedName>
    <definedName name="Excel_BuiltIn_Print_Area_1_11_1_12">#REF!</definedName>
    <definedName name="Excel_BuiltIn_Print_Area_1_11_1_2" localSheetId="34">#REF!</definedName>
    <definedName name="Excel_BuiltIn_Print_Area_1_11_1_2">#REF!</definedName>
    <definedName name="Excel_BuiltIn_Print_Area_1_11_1_7" localSheetId="34">#REF!</definedName>
    <definedName name="Excel_BuiltIn_Print_Area_1_11_1_7">#REF!</definedName>
    <definedName name="Excel_BuiltIn_Print_Area_1_11_1_8" localSheetId="34">#REF!</definedName>
    <definedName name="Excel_BuiltIn_Print_Area_1_11_1_8">#REF!</definedName>
    <definedName name="Excel_BuiltIn_Print_Area_1_11_12" localSheetId="34">#REF!</definedName>
    <definedName name="Excel_BuiltIn_Print_Area_1_11_12">#REF!</definedName>
    <definedName name="Excel_BuiltIn_Print_Area_1_11_3" localSheetId="34">#REF!</definedName>
    <definedName name="Excel_BuiltIn_Print_Area_1_11_3">#REF!</definedName>
    <definedName name="Excel_BuiltIn_Print_Area_1_11_3_12" localSheetId="34">#REF!</definedName>
    <definedName name="Excel_BuiltIn_Print_Area_1_11_3_12">#REF!</definedName>
    <definedName name="Excel_BuiltIn_Print_Area_1_11_3_2" localSheetId="34">#REF!</definedName>
    <definedName name="Excel_BuiltIn_Print_Area_1_11_3_2">#REF!</definedName>
    <definedName name="Excel_BuiltIn_Print_Area_1_11_3_7" localSheetId="34">#REF!</definedName>
    <definedName name="Excel_BuiltIn_Print_Area_1_11_3_7">#REF!</definedName>
    <definedName name="Excel_BuiltIn_Print_Area_1_11_3_8" localSheetId="34">#REF!</definedName>
    <definedName name="Excel_BuiltIn_Print_Area_1_11_3_8">#REF!</definedName>
    <definedName name="Excel_BuiltIn_Print_Area_1_11_5" localSheetId="34">#REF!</definedName>
    <definedName name="Excel_BuiltIn_Print_Area_1_11_5">#REF!</definedName>
    <definedName name="Excel_BuiltIn_Print_Area_1_11_5_12" localSheetId="34">#REF!</definedName>
    <definedName name="Excel_BuiltIn_Print_Area_1_11_5_12">#REF!</definedName>
    <definedName name="Excel_BuiltIn_Print_Area_1_11_5_2" localSheetId="34">#REF!</definedName>
    <definedName name="Excel_BuiltIn_Print_Area_1_11_5_2">#REF!</definedName>
    <definedName name="Excel_BuiltIn_Print_Area_1_11_5_7" localSheetId="34">#REF!</definedName>
    <definedName name="Excel_BuiltIn_Print_Area_1_11_5_7">#REF!</definedName>
    <definedName name="Excel_BuiltIn_Print_Area_1_11_5_8" localSheetId="34">#REF!</definedName>
    <definedName name="Excel_BuiltIn_Print_Area_1_11_5_8">#REF!</definedName>
    <definedName name="Excel_BuiltIn_Print_Area_1_11_7" localSheetId="34">#REF!</definedName>
    <definedName name="Excel_BuiltIn_Print_Area_1_11_7">#REF!</definedName>
    <definedName name="Excel_BuiltIn_Print_Area_1_11_8" localSheetId="34">#REF!</definedName>
    <definedName name="Excel_BuiltIn_Print_Area_1_11_8">#REF!</definedName>
    <definedName name="Excel_BuiltIn_Print_Area_1_12" localSheetId="34">#REF!</definedName>
    <definedName name="Excel_BuiltIn_Print_Area_1_12">#REF!</definedName>
    <definedName name="Excel_BuiltIn_Print_Area_1_2" localSheetId="34">#REF!</definedName>
    <definedName name="Excel_BuiltIn_Print_Area_1_2">#REF!</definedName>
    <definedName name="Excel_BuiltIn_Print_Area_1_3" localSheetId="34">#REF!</definedName>
    <definedName name="Excel_BuiltIn_Print_Area_1_3">#REF!</definedName>
    <definedName name="Excel_BuiltIn_Print_Area_1_4" localSheetId="34">#REF!</definedName>
    <definedName name="Excel_BuiltIn_Print_Area_1_4">#REF!</definedName>
    <definedName name="Excel_BuiltIn_Print_Area_1_8" localSheetId="34">#REF!</definedName>
    <definedName name="Excel_BuiltIn_Print_Area_1_8">#REF!</definedName>
    <definedName name="Excel_BuiltIn_Print_Area_12_1" localSheetId="34">#REF!</definedName>
    <definedName name="Excel_BuiltIn_Print_Area_12_1">#REF!</definedName>
    <definedName name="Excel_BuiltIn_Print_Area_12_1_12" localSheetId="34">#REF!</definedName>
    <definedName name="Excel_BuiltIn_Print_Area_12_1_12">#REF!</definedName>
    <definedName name="Excel_BuiltIn_Print_Area_12_1_7" localSheetId="34">#REF!</definedName>
    <definedName name="Excel_BuiltIn_Print_Area_12_1_7">#REF!</definedName>
    <definedName name="Excel_BuiltIn_Print_Area_12_1_8" localSheetId="34">#REF!</definedName>
    <definedName name="Excel_BuiltIn_Print_Area_12_1_8">#REF!</definedName>
    <definedName name="Excel_BuiltIn_Print_Area_3">"$#HIV!.$A$1:$L$17"</definedName>
    <definedName name="Excel_BuiltIn_Print_Titles_1" localSheetId="34">#REF!</definedName>
    <definedName name="Excel_BuiltIn_Print_Titles_1" localSheetId="8">#REF!</definedName>
    <definedName name="Excel_BuiltIn_Print_Titles_1">#REF!</definedName>
    <definedName name="Excel_BuiltIn_Print_Titles_1_1" localSheetId="34">#REF!</definedName>
    <definedName name="Excel_BuiltIn_Print_Titles_1_1">#REF!</definedName>
    <definedName name="Excel_BuiltIn_Print_Titles_1_1_1" localSheetId="34">#REF!</definedName>
    <definedName name="Excel_BuiltIn_Print_Titles_1_1_1">#REF!</definedName>
    <definedName name="Excel_BuiltIn_Print_Titles_1_1_1_1">NA()</definedName>
    <definedName name="Excel_BuiltIn_Print_Titles_1_1_1_12" localSheetId="34">#REF!</definedName>
    <definedName name="Excel_BuiltIn_Print_Titles_1_1_1_12" localSheetId="8">#REF!</definedName>
    <definedName name="Excel_BuiltIn_Print_Titles_1_1_1_12">#REF!</definedName>
    <definedName name="Excel_BuiltIn_Print_Titles_1_1_1_7" localSheetId="34">#REF!</definedName>
    <definedName name="Excel_BuiltIn_Print_Titles_1_1_1_7">#REF!</definedName>
    <definedName name="Excel_BuiltIn_Print_Titles_1_1_1_8" localSheetId="34">#REF!</definedName>
    <definedName name="Excel_BuiltIn_Print_Titles_1_1_1_8">#REF!</definedName>
    <definedName name="Excel_BuiltIn_Print_Titles_1_1_12" localSheetId="34">#REF!</definedName>
    <definedName name="Excel_BuiltIn_Print_Titles_1_1_12">#REF!</definedName>
    <definedName name="Excel_BuiltIn_Print_Titles_1_1_7" localSheetId="34">#REF!</definedName>
    <definedName name="Excel_BuiltIn_Print_Titles_1_1_7">#REF!</definedName>
    <definedName name="Excel_BuiltIn_Print_Titles_1_1_8" localSheetId="34">#REF!</definedName>
    <definedName name="Excel_BuiltIn_Print_Titles_1_1_8">#REF!</definedName>
    <definedName name="Excel_BuiltIn_Print_Titles_1_1_9" localSheetId="34">#REF!</definedName>
    <definedName name="Excel_BuiltIn_Print_Titles_1_1_9">#REF!</definedName>
    <definedName name="Excel_BuiltIn_Print_Titles_1_1_9_1">NA()</definedName>
    <definedName name="Excel_BuiltIn_Print_Titles_1_1_9_12" localSheetId="34">#REF!</definedName>
    <definedName name="Excel_BuiltIn_Print_Titles_1_1_9_12" localSheetId="8">#REF!</definedName>
    <definedName name="Excel_BuiltIn_Print_Titles_1_1_9_12">#REF!</definedName>
    <definedName name="Excel_BuiltIn_Print_Titles_1_1_9_7" localSheetId="34">#REF!</definedName>
    <definedName name="Excel_BuiltIn_Print_Titles_1_1_9_7">#REF!</definedName>
    <definedName name="Excel_BuiltIn_Print_Titles_1_1_9_8" localSheetId="34">#REF!</definedName>
    <definedName name="Excel_BuiltIn_Print_Titles_1_1_9_8">#REF!</definedName>
    <definedName name="Excel_BuiltIn_Print_Titles_1_9" localSheetId="34">#REF!</definedName>
    <definedName name="Excel_BuiltIn_Print_Titles_1_9">#REF!</definedName>
    <definedName name="Excel_BuiltIn_Print_Titles_1_9_1">NA()</definedName>
    <definedName name="Excel_BuiltIn_Print_Titles_1_9_12" localSheetId="34">#REF!</definedName>
    <definedName name="Excel_BuiltIn_Print_Titles_1_9_12" localSheetId="8">#REF!</definedName>
    <definedName name="Excel_BuiltIn_Print_Titles_1_9_12">#REF!</definedName>
    <definedName name="Excel_BuiltIn_Print_Titles_1_9_7" localSheetId="34">#REF!</definedName>
    <definedName name="Excel_BuiltIn_Print_Titles_1_9_7">#REF!</definedName>
    <definedName name="Excel_BuiltIn_Print_Titles_1_9_8" localSheetId="34">#REF!</definedName>
    <definedName name="Excel_BuiltIn_Print_Titles_1_9_8">#REF!</definedName>
    <definedName name="Excel_BuiltIn_Print_Titles_10" localSheetId="34">#REF!</definedName>
    <definedName name="Excel_BuiltIn_Print_Titles_10">#REF!</definedName>
    <definedName name="Excel_BuiltIn_Print_Titles_12_1" localSheetId="34">#REF!</definedName>
    <definedName name="Excel_BuiltIn_Print_Titles_12_1">#REF!</definedName>
    <definedName name="Excel_BuiltIn_Print_Titles_12_1_12" localSheetId="34">#REF!</definedName>
    <definedName name="Excel_BuiltIn_Print_Titles_12_1_12">#REF!</definedName>
    <definedName name="Excel_BuiltIn_Print_Titles_12_1_7" localSheetId="34">#REF!</definedName>
    <definedName name="Excel_BuiltIn_Print_Titles_12_1_7">#REF!</definedName>
    <definedName name="Excel_BuiltIn_Print_Titles_12_1_8" localSheetId="34">#REF!</definedName>
    <definedName name="Excel_BuiltIn_Print_Titles_12_1_8">#REF!</definedName>
    <definedName name="Excel_BuiltIn_Print_Titles_3_1" localSheetId="5">#REF!</definedName>
    <definedName name="Excel_BuiltIn_Print_Titles_3_1" localSheetId="34">#REF!</definedName>
    <definedName name="Excel_BuiltIn_Print_Titles_3_1">#REF!</definedName>
    <definedName name="Excel_BuiltIn_Print_Titles_4_1" localSheetId="5">#REF!</definedName>
    <definedName name="Excel_BuiltIn_Print_Titles_4_1" localSheetId="34">#REF!</definedName>
    <definedName name="Excel_BuiltIn_Print_Titles_4_1">#REF!</definedName>
    <definedName name="Excel_BuiltIn_Print_Titles_5_1" localSheetId="34">#REF!</definedName>
    <definedName name="Excel_BuiltIn_Print_Titles_5_1">#REF!</definedName>
    <definedName name="fkeres" localSheetId="5">#REF!</definedName>
    <definedName name="fkeres" localSheetId="34">#REF!</definedName>
    <definedName name="fkeres">#REF!</definedName>
    <definedName name="fkeres_1" localSheetId="34">#REF!</definedName>
    <definedName name="fkeres_1">#REF!</definedName>
    <definedName name="fkeres_10" localSheetId="34">#REF!</definedName>
    <definedName name="fkeres_10">#REF!</definedName>
    <definedName name="fkeres_10_12" localSheetId="34">#REF!</definedName>
    <definedName name="fkeres_10_12">#REF!</definedName>
    <definedName name="fkeres_10_7" localSheetId="34">#REF!</definedName>
    <definedName name="fkeres_10_7">#REF!</definedName>
    <definedName name="fkeres_10_8" localSheetId="34">#REF!</definedName>
    <definedName name="fkeres_10_8">#REF!</definedName>
    <definedName name="fkeres_11" localSheetId="34">#REF!</definedName>
    <definedName name="fkeres_11">#REF!</definedName>
    <definedName name="fkeres_11_1" localSheetId="34">#REF!</definedName>
    <definedName name="fkeres_11_1">#REF!</definedName>
    <definedName name="fkeres_11_1_1" localSheetId="34">#REF!</definedName>
    <definedName name="fkeres_11_1_1">#REF!</definedName>
    <definedName name="fkeres_11_1_1_1">NA()</definedName>
    <definedName name="fkeres_11_1_1_12" localSheetId="34">#REF!</definedName>
    <definedName name="fkeres_11_1_1_12" localSheetId="8">#REF!</definedName>
    <definedName name="fkeres_11_1_1_12">#REF!</definedName>
    <definedName name="fkeres_11_1_1_2" localSheetId="34">#REF!</definedName>
    <definedName name="fkeres_11_1_1_2">#REF!</definedName>
    <definedName name="fkeres_11_1_1_7" localSheetId="34">#REF!</definedName>
    <definedName name="fkeres_11_1_1_7">#REF!</definedName>
    <definedName name="fkeres_11_1_1_8" localSheetId="34">#REF!</definedName>
    <definedName name="fkeres_11_1_1_8">#REF!</definedName>
    <definedName name="fkeres_11_1_12" localSheetId="34">#REF!</definedName>
    <definedName name="fkeres_11_1_12">#REF!</definedName>
    <definedName name="fkeres_11_1_2" localSheetId="34">#REF!</definedName>
    <definedName name="fkeres_11_1_2">#REF!</definedName>
    <definedName name="fkeres_11_1_7" localSheetId="34">#REF!</definedName>
    <definedName name="fkeres_11_1_7">#REF!</definedName>
    <definedName name="fkeres_11_1_8" localSheetId="34">#REF!</definedName>
    <definedName name="fkeres_11_1_8">#REF!</definedName>
    <definedName name="fkeres_11_12" localSheetId="34">#REF!</definedName>
    <definedName name="fkeres_11_12">#REF!</definedName>
    <definedName name="fkeres_11_3" localSheetId="34">#REF!</definedName>
    <definedName name="fkeres_11_3">#REF!</definedName>
    <definedName name="fkeres_11_3_12" localSheetId="34">#REF!</definedName>
    <definedName name="fkeres_11_3_12">#REF!</definedName>
    <definedName name="fkeres_11_3_2" localSheetId="34">#REF!</definedName>
    <definedName name="fkeres_11_3_2">#REF!</definedName>
    <definedName name="fkeres_11_3_7" localSheetId="34">#REF!</definedName>
    <definedName name="fkeres_11_3_7">#REF!</definedName>
    <definedName name="fkeres_11_3_8" localSheetId="34">#REF!</definedName>
    <definedName name="fkeres_11_3_8">#REF!</definedName>
    <definedName name="fkeres_11_5" localSheetId="34">#REF!</definedName>
    <definedName name="fkeres_11_5">#REF!</definedName>
    <definedName name="fkeres_11_5_12" localSheetId="34">#REF!</definedName>
    <definedName name="fkeres_11_5_12">#REF!</definedName>
    <definedName name="fkeres_11_5_2" localSheetId="34">#REF!</definedName>
    <definedName name="fkeres_11_5_2">#REF!</definedName>
    <definedName name="fkeres_11_5_7" localSheetId="34">#REF!</definedName>
    <definedName name="fkeres_11_5_7">#REF!</definedName>
    <definedName name="fkeres_11_5_8" localSheetId="34">#REF!</definedName>
    <definedName name="fkeres_11_5_8">#REF!</definedName>
    <definedName name="fkeres_11_7" localSheetId="34">#REF!</definedName>
    <definedName name="fkeres_11_7">#REF!</definedName>
    <definedName name="fkeres_11_8" localSheetId="34">#REF!</definedName>
    <definedName name="fkeres_11_8">#REF!</definedName>
    <definedName name="fkeres_12" localSheetId="5">#REF!</definedName>
    <definedName name="fkeres_12" localSheetId="34">#REF!</definedName>
    <definedName name="fkeres_12">#REF!</definedName>
    <definedName name="fkeres_12_1">NA()</definedName>
    <definedName name="fkeres_12_10" localSheetId="34">#REF!</definedName>
    <definedName name="fkeres_12_10" localSheetId="8">#REF!</definedName>
    <definedName name="fkeres_12_10">#REF!</definedName>
    <definedName name="fkeres_12_10_12" localSheetId="34">#REF!</definedName>
    <definedName name="fkeres_12_10_12">#REF!</definedName>
    <definedName name="fkeres_12_10_7" localSheetId="34">#REF!</definedName>
    <definedName name="fkeres_12_10_7">#REF!</definedName>
    <definedName name="fkeres_12_10_8" localSheetId="34">#REF!</definedName>
    <definedName name="fkeres_12_10_8">#REF!</definedName>
    <definedName name="fkeres_12_12" localSheetId="34">#REF!</definedName>
    <definedName name="fkeres_12_12">#REF!</definedName>
    <definedName name="fkeres_12_7" localSheetId="34">#REF!</definedName>
    <definedName name="fkeres_12_7">#REF!</definedName>
    <definedName name="fkeres_12_8" localSheetId="34">#REF!</definedName>
    <definedName name="fkeres_12_8">#REF!</definedName>
    <definedName name="fkeres_2" localSheetId="5">#REF!</definedName>
    <definedName name="fkeres_2" localSheetId="34">#REF!</definedName>
    <definedName name="fkeres_2">#REF!</definedName>
    <definedName name="fkeres_2_1" localSheetId="34">#REF!</definedName>
    <definedName name="fkeres_2_1">#REF!</definedName>
    <definedName name="fkeres_2_1_1" localSheetId="34">#REF!</definedName>
    <definedName name="fkeres_2_1_1">#REF!</definedName>
    <definedName name="fkeres_2_10" localSheetId="34">#REF!</definedName>
    <definedName name="fkeres_2_10">#REF!</definedName>
    <definedName name="fkeres_2_10_12" localSheetId="34">#REF!</definedName>
    <definedName name="fkeres_2_10_12">#REF!</definedName>
    <definedName name="fkeres_2_10_7" localSheetId="34">#REF!</definedName>
    <definedName name="fkeres_2_10_7">#REF!</definedName>
    <definedName name="fkeres_2_10_8" localSheetId="34">#REF!</definedName>
    <definedName name="fkeres_2_10_8">#REF!</definedName>
    <definedName name="fkeres_2_11" localSheetId="34">#REF!</definedName>
    <definedName name="fkeres_2_11">#REF!</definedName>
    <definedName name="fkeres_2_11_1" localSheetId="34">#REF!</definedName>
    <definedName name="fkeres_2_11_1">#REF!</definedName>
    <definedName name="fkeres_2_11_1_1" localSheetId="34">#REF!</definedName>
    <definedName name="fkeres_2_11_1_1">#REF!</definedName>
    <definedName name="fkeres_2_11_1_1_1">NA()</definedName>
    <definedName name="fkeres_2_11_1_1_12" localSheetId="34">#REF!</definedName>
    <definedName name="fkeres_2_11_1_1_12" localSheetId="8">#REF!</definedName>
    <definedName name="fkeres_2_11_1_1_12">#REF!</definedName>
    <definedName name="fkeres_2_11_1_1_2" localSheetId="34">#REF!</definedName>
    <definedName name="fkeres_2_11_1_1_2">#REF!</definedName>
    <definedName name="fkeres_2_11_1_1_7" localSheetId="34">#REF!</definedName>
    <definedName name="fkeres_2_11_1_1_7">#REF!</definedName>
    <definedName name="fkeres_2_11_1_1_8" localSheetId="34">#REF!</definedName>
    <definedName name="fkeres_2_11_1_1_8">#REF!</definedName>
    <definedName name="fkeres_2_11_1_12" localSheetId="34">#REF!</definedName>
    <definedName name="fkeres_2_11_1_12">#REF!</definedName>
    <definedName name="fkeres_2_11_1_2" localSheetId="34">#REF!</definedName>
    <definedName name="fkeres_2_11_1_2">#REF!</definedName>
    <definedName name="fkeres_2_11_1_7" localSheetId="34">#REF!</definedName>
    <definedName name="fkeres_2_11_1_7">#REF!</definedName>
    <definedName name="fkeres_2_11_1_8" localSheetId="34">#REF!</definedName>
    <definedName name="fkeres_2_11_1_8">#REF!</definedName>
    <definedName name="fkeres_2_11_12" localSheetId="34">#REF!</definedName>
    <definedName name="fkeres_2_11_12">#REF!</definedName>
    <definedName name="fkeres_2_11_3" localSheetId="34">#REF!</definedName>
    <definedName name="fkeres_2_11_3">#REF!</definedName>
    <definedName name="fkeres_2_11_3_12" localSheetId="34">#REF!</definedName>
    <definedName name="fkeres_2_11_3_12">#REF!</definedName>
    <definedName name="fkeres_2_11_3_2" localSheetId="34">#REF!</definedName>
    <definedName name="fkeres_2_11_3_2">#REF!</definedName>
    <definedName name="fkeres_2_11_3_7" localSheetId="34">#REF!</definedName>
    <definedName name="fkeres_2_11_3_7">#REF!</definedName>
    <definedName name="fkeres_2_11_3_8" localSheetId="34">#REF!</definedName>
    <definedName name="fkeres_2_11_3_8">#REF!</definedName>
    <definedName name="fkeres_2_11_5" localSheetId="34">#REF!</definedName>
    <definedName name="fkeres_2_11_5">#REF!</definedName>
    <definedName name="fkeres_2_11_5_12" localSheetId="34">#REF!</definedName>
    <definedName name="fkeres_2_11_5_12">#REF!</definedName>
    <definedName name="fkeres_2_11_5_2" localSheetId="34">#REF!</definedName>
    <definedName name="fkeres_2_11_5_2">#REF!</definedName>
    <definedName name="fkeres_2_11_5_7" localSheetId="34">#REF!</definedName>
    <definedName name="fkeres_2_11_5_7">#REF!</definedName>
    <definedName name="fkeres_2_11_5_8" localSheetId="34">#REF!</definedName>
    <definedName name="fkeres_2_11_5_8">#REF!</definedName>
    <definedName name="fkeres_2_11_7" localSheetId="34">#REF!</definedName>
    <definedName name="fkeres_2_11_7">#REF!</definedName>
    <definedName name="fkeres_2_11_8" localSheetId="34">#REF!</definedName>
    <definedName name="fkeres_2_11_8">#REF!</definedName>
    <definedName name="fkeres_2_12" localSheetId="5">#REF!</definedName>
    <definedName name="fkeres_2_12" localSheetId="34">#REF!</definedName>
    <definedName name="fkeres_2_12">#REF!</definedName>
    <definedName name="fkeres_2_12_1">NA()</definedName>
    <definedName name="fkeres_2_12_10" localSheetId="34">#REF!</definedName>
    <definedName name="fkeres_2_12_10" localSheetId="8">#REF!</definedName>
    <definedName name="fkeres_2_12_10">#REF!</definedName>
    <definedName name="fkeres_2_12_10_12" localSheetId="34">#REF!</definedName>
    <definedName name="fkeres_2_12_10_12">#REF!</definedName>
    <definedName name="fkeres_2_12_10_7" localSheetId="34">#REF!</definedName>
    <definedName name="fkeres_2_12_10_7">#REF!</definedName>
    <definedName name="fkeres_2_12_10_8" localSheetId="34">#REF!</definedName>
    <definedName name="fkeres_2_12_10_8">#REF!</definedName>
    <definedName name="fkeres_2_12_12" localSheetId="34">#REF!</definedName>
    <definedName name="fkeres_2_12_12">#REF!</definedName>
    <definedName name="fkeres_2_12_7" localSheetId="34">#REF!</definedName>
    <definedName name="fkeres_2_12_7">#REF!</definedName>
    <definedName name="fkeres_2_12_8" localSheetId="34">#REF!</definedName>
    <definedName name="fkeres_2_12_8">#REF!</definedName>
    <definedName name="fkeres_2_2" localSheetId="34">#REF!</definedName>
    <definedName name="fkeres_2_2">#REF!</definedName>
    <definedName name="fkeres_2_3" localSheetId="34">#REF!</definedName>
    <definedName name="fkeres_2_3">#REF!</definedName>
    <definedName name="fkeres_2_4" localSheetId="34">#REF!</definedName>
    <definedName name="fkeres_2_4">#REF!</definedName>
    <definedName name="fkeres_2_7" localSheetId="34">#REF!</definedName>
    <definedName name="fkeres_2_7">#REF!</definedName>
    <definedName name="fkeres_2_8" localSheetId="34">#REF!</definedName>
    <definedName name="fkeres_2_8">#REF!</definedName>
    <definedName name="fkeres_2_9" localSheetId="34">#REF!</definedName>
    <definedName name="fkeres_2_9">#REF!</definedName>
    <definedName name="fkeres_2_9_1">NA()</definedName>
    <definedName name="fkeres_2_9_12" localSheetId="34">#REF!</definedName>
    <definedName name="fkeres_2_9_12" localSheetId="8">#REF!</definedName>
    <definedName name="fkeres_2_9_12">#REF!</definedName>
    <definedName name="fkeres_2_9_7" localSheetId="34">#REF!</definedName>
    <definedName name="fkeres_2_9_7">#REF!</definedName>
    <definedName name="fkeres_2_9_8" localSheetId="34">#REF!</definedName>
    <definedName name="fkeres_2_9_8">#REF!</definedName>
    <definedName name="fkeres_20" localSheetId="5">#REF!</definedName>
    <definedName name="fkeres_20" localSheetId="34">#REF!</definedName>
    <definedName name="fkeres_20">#REF!</definedName>
    <definedName name="fkeres_20_1" localSheetId="34">#REF!</definedName>
    <definedName name="fkeres_20_1">#REF!</definedName>
    <definedName name="fkeres_20_10" localSheetId="34">#REF!</definedName>
    <definedName name="fkeres_20_10">#REF!</definedName>
    <definedName name="fkeres_20_10_12" localSheetId="34">#REF!</definedName>
    <definedName name="fkeres_20_10_12">#REF!</definedName>
    <definedName name="fkeres_20_10_7" localSheetId="34">#REF!</definedName>
    <definedName name="fkeres_20_10_7">#REF!</definedName>
    <definedName name="fkeres_20_10_8" localSheetId="34">#REF!</definedName>
    <definedName name="fkeres_20_10_8">#REF!</definedName>
    <definedName name="fkeres_20_11" localSheetId="34">#REF!</definedName>
    <definedName name="fkeres_20_11">#REF!</definedName>
    <definedName name="fkeres_20_11_1" localSheetId="34">#REF!</definedName>
    <definedName name="fkeres_20_11_1">#REF!</definedName>
    <definedName name="fkeres_20_11_1_" localSheetId="34">#REF!</definedName>
    <definedName name="fkeres_20_11_1_">#REF!</definedName>
    <definedName name="fkeres_20_11_1__12" localSheetId="34">#REF!</definedName>
    <definedName name="fkeres_20_11_1__12">#REF!</definedName>
    <definedName name="fkeres_20_11_1__2" localSheetId="34">#REF!</definedName>
    <definedName name="fkeres_20_11_1__2">#REF!</definedName>
    <definedName name="fkeres_20_11_1__8" localSheetId="34">#REF!</definedName>
    <definedName name="fkeres_20_11_1__8">#REF!</definedName>
    <definedName name="fkeres_20_11_1_1" localSheetId="34">#REF!</definedName>
    <definedName name="fkeres_20_11_1_1">#REF!</definedName>
    <definedName name="fkeres_20_11_1_1_1">NA()</definedName>
    <definedName name="fkeres_20_11_1_1_12" localSheetId="34">#REF!</definedName>
    <definedName name="fkeres_20_11_1_1_12" localSheetId="8">#REF!</definedName>
    <definedName name="fkeres_20_11_1_1_12">#REF!</definedName>
    <definedName name="fkeres_20_11_1_1_2" localSheetId="34">#REF!</definedName>
    <definedName name="fkeres_20_11_1_1_2">#REF!</definedName>
    <definedName name="fkeres_20_11_1_1_7" localSheetId="34">#REF!</definedName>
    <definedName name="fkeres_20_11_1_1_7">#REF!</definedName>
    <definedName name="fkeres_20_11_1_1_8" localSheetId="34">#REF!</definedName>
    <definedName name="fkeres_20_11_1_1_8">#REF!</definedName>
    <definedName name="fkeres_20_11_1_12" localSheetId="34">#REF!</definedName>
    <definedName name="fkeres_20_11_1_12">#REF!</definedName>
    <definedName name="fkeres_20_11_1_2" localSheetId="34">#REF!</definedName>
    <definedName name="fkeres_20_11_1_2">#REF!</definedName>
    <definedName name="fkeres_20_11_1_7" localSheetId="34">#REF!</definedName>
    <definedName name="fkeres_20_11_1_7">#REF!</definedName>
    <definedName name="fkeres_20_11_1_8" localSheetId="34">#REF!</definedName>
    <definedName name="fkeres_20_11_1_8">#REF!</definedName>
    <definedName name="fkeres_20_11_12" localSheetId="34">#REF!</definedName>
    <definedName name="fkeres_20_11_12">#REF!</definedName>
    <definedName name="fkeres_20_11_3" localSheetId="34">#REF!</definedName>
    <definedName name="fkeres_20_11_3">#REF!</definedName>
    <definedName name="fkeres_20_11_3_12" localSheetId="34">#REF!</definedName>
    <definedName name="fkeres_20_11_3_12">#REF!</definedName>
    <definedName name="fkeres_20_11_3_2" localSheetId="34">#REF!</definedName>
    <definedName name="fkeres_20_11_3_2">#REF!</definedName>
    <definedName name="fkeres_20_11_3_7" localSheetId="34">#REF!</definedName>
    <definedName name="fkeres_20_11_3_7">#REF!</definedName>
    <definedName name="fkeres_20_11_3_8" localSheetId="34">#REF!</definedName>
    <definedName name="fkeres_20_11_3_8">#REF!</definedName>
    <definedName name="fkeres_20_11_5" localSheetId="34">#REF!</definedName>
    <definedName name="fkeres_20_11_5">#REF!</definedName>
    <definedName name="fkeres_20_11_5_12" localSheetId="34">#REF!</definedName>
    <definedName name="fkeres_20_11_5_12">#REF!</definedName>
    <definedName name="fkeres_20_11_5_2" localSheetId="34">#REF!</definedName>
    <definedName name="fkeres_20_11_5_2">#REF!</definedName>
    <definedName name="fkeres_20_11_5_7" localSheetId="34">#REF!</definedName>
    <definedName name="fkeres_20_11_5_7">#REF!</definedName>
    <definedName name="fkeres_20_11_5_8" localSheetId="34">#REF!</definedName>
    <definedName name="fkeres_20_11_5_8">#REF!</definedName>
    <definedName name="fkeres_20_11_7" localSheetId="34">#REF!</definedName>
    <definedName name="fkeres_20_11_7">#REF!</definedName>
    <definedName name="fkeres_20_11_8" localSheetId="34">#REF!</definedName>
    <definedName name="fkeres_20_11_8">#REF!</definedName>
    <definedName name="fkeres_20_12" localSheetId="5">#REF!</definedName>
    <definedName name="fkeres_20_12" localSheetId="34">#REF!</definedName>
    <definedName name="fkeres_20_12">#REF!</definedName>
    <definedName name="fkeres_20_12_1">NA()</definedName>
    <definedName name="fkeres_20_12_10" localSheetId="34">#REF!</definedName>
    <definedName name="fkeres_20_12_10" localSheetId="8">#REF!</definedName>
    <definedName name="fkeres_20_12_10">#REF!</definedName>
    <definedName name="fkeres_20_12_10_12" localSheetId="34">#REF!</definedName>
    <definedName name="fkeres_20_12_10_12">#REF!</definedName>
    <definedName name="fkeres_20_12_10_7" localSheetId="34">#REF!</definedName>
    <definedName name="fkeres_20_12_10_7">#REF!</definedName>
    <definedName name="fkeres_20_12_10_8" localSheetId="34">#REF!</definedName>
    <definedName name="fkeres_20_12_10_8">#REF!</definedName>
    <definedName name="fkeres_20_12_12" localSheetId="34">#REF!</definedName>
    <definedName name="fkeres_20_12_12">#REF!</definedName>
    <definedName name="fkeres_20_12_7" localSheetId="34">#REF!</definedName>
    <definedName name="fkeres_20_12_7">#REF!</definedName>
    <definedName name="fkeres_20_12_8" localSheetId="34">#REF!</definedName>
    <definedName name="fkeres_20_12_8">#REF!</definedName>
    <definedName name="fkeres_20_2" localSheetId="34">#REF!</definedName>
    <definedName name="fkeres_20_2">#REF!</definedName>
    <definedName name="fkeres_20_3" localSheetId="34">#REF!</definedName>
    <definedName name="fkeres_20_3">#REF!</definedName>
    <definedName name="fkeres_20_4" localSheetId="34">#REF!</definedName>
    <definedName name="fkeres_20_4">#REF!</definedName>
    <definedName name="fkeres_20_7" localSheetId="34">#REF!</definedName>
    <definedName name="fkeres_20_7">#REF!</definedName>
    <definedName name="fkeres_20_8" localSheetId="34">#REF!</definedName>
    <definedName name="fkeres_20_8">#REF!</definedName>
    <definedName name="fkeres_20_9" localSheetId="34">#REF!</definedName>
    <definedName name="fkeres_20_9">#REF!</definedName>
    <definedName name="fkeres_20_9_1">NA()</definedName>
    <definedName name="fkeres_20_9_12" localSheetId="34">#REF!</definedName>
    <definedName name="fkeres_20_9_12" localSheetId="8">#REF!</definedName>
    <definedName name="fkeres_20_9_12">#REF!</definedName>
    <definedName name="fkeres_20_9_7" localSheetId="34">#REF!</definedName>
    <definedName name="fkeres_20_9_7">#REF!</definedName>
    <definedName name="fkeres_20_9_8" localSheetId="34">#REF!</definedName>
    <definedName name="fkeres_20_9_8">#REF!</definedName>
    <definedName name="fkeres_21" localSheetId="34">#REF!</definedName>
    <definedName name="fkeres_21">#REF!</definedName>
    <definedName name="fkeres_21_12" localSheetId="34">#REF!</definedName>
    <definedName name="fkeres_21_12">#REF!</definedName>
    <definedName name="fkeres_21_2" localSheetId="34">#REF!</definedName>
    <definedName name="fkeres_21_2">#REF!</definedName>
    <definedName name="fkeres_21_8" localSheetId="34">#REF!</definedName>
    <definedName name="fkeres_21_8">#REF!</definedName>
    <definedName name="fkeres_3" localSheetId="34">#REF!</definedName>
    <definedName name="fkeres_3">#REF!</definedName>
    <definedName name="fkeres_33" localSheetId="34">#REF!</definedName>
    <definedName name="fkeres_33">#REF!</definedName>
    <definedName name="fkeres_4" localSheetId="34">#REF!</definedName>
    <definedName name="fkeres_4">#REF!</definedName>
    <definedName name="fkeres_7" localSheetId="34">#REF!</definedName>
    <definedName name="fkeres_7">#REF!</definedName>
    <definedName name="fkeres_8" localSheetId="34">#REF!</definedName>
    <definedName name="fkeres_8">#REF!</definedName>
    <definedName name="fkeres_9" localSheetId="34">#REF!</definedName>
    <definedName name="fkeres_9">#REF!</definedName>
    <definedName name="fkeres_9_1">NA()</definedName>
    <definedName name="fkeres_9_12" localSheetId="34">#REF!</definedName>
    <definedName name="fkeres_9_12" localSheetId="8">#REF!</definedName>
    <definedName name="fkeres_9_12">#REF!</definedName>
    <definedName name="fkeres_9_7" localSheetId="34">#REF!</definedName>
    <definedName name="fkeres_9_7">#REF!</definedName>
    <definedName name="fkeres_9_8" localSheetId="34">#REF!</definedName>
    <definedName name="fkeres_9_8">#REF!</definedName>
    <definedName name="FKERES_BLOKK" localSheetId="5">#REF!</definedName>
    <definedName name="FKERES_BLOKK" localSheetId="34">#REF!</definedName>
    <definedName name="FKERES_BLOKK">#REF!</definedName>
    <definedName name="FKERES_BLOKK_1" localSheetId="34">#REF!</definedName>
    <definedName name="FKERES_BLOKK_1">#REF!</definedName>
    <definedName name="FKERES_BLOKK_10" localSheetId="34">#REF!</definedName>
    <definedName name="FKERES_BLOKK_10">#REF!</definedName>
    <definedName name="FKERES_BLOKK_10_12" localSheetId="34">#REF!</definedName>
    <definedName name="FKERES_BLOKK_10_12">#REF!</definedName>
    <definedName name="FKERES_BLOKK_10_7" localSheetId="34">#REF!</definedName>
    <definedName name="FKERES_BLOKK_10_7">#REF!</definedName>
    <definedName name="FKERES_BLOKK_10_8" localSheetId="34">#REF!</definedName>
    <definedName name="FKERES_BLOKK_10_8">#REF!</definedName>
    <definedName name="FKERES_BLOKK_11" localSheetId="34">#REF!</definedName>
    <definedName name="FKERES_BLOKK_11">#REF!</definedName>
    <definedName name="FKERES_BLOKK_11_1" localSheetId="34">#REF!</definedName>
    <definedName name="FKERES_BLOKK_11_1">#REF!</definedName>
    <definedName name="FKERES_BLOKK_11_1_1" localSheetId="34">#REF!</definedName>
    <definedName name="FKERES_BLOKK_11_1_1">#REF!</definedName>
    <definedName name="FKERES_BLOKK_11_1_1_1">NA()</definedName>
    <definedName name="FKERES_BLOKK_11_1_1_12" localSheetId="34">#REF!</definedName>
    <definedName name="FKERES_BLOKK_11_1_1_12" localSheetId="8">#REF!</definedName>
    <definedName name="FKERES_BLOKK_11_1_1_12">#REF!</definedName>
    <definedName name="FKERES_BLOKK_11_1_1_2" localSheetId="34">#REF!</definedName>
    <definedName name="FKERES_BLOKK_11_1_1_2">#REF!</definedName>
    <definedName name="FKERES_BLOKK_11_1_1_7" localSheetId="34">#REF!</definedName>
    <definedName name="FKERES_BLOKK_11_1_1_7">#REF!</definedName>
    <definedName name="FKERES_BLOKK_11_1_1_8" localSheetId="34">#REF!</definedName>
    <definedName name="FKERES_BLOKK_11_1_1_8">#REF!</definedName>
    <definedName name="FKERES_BLOKK_11_1_12" localSheetId="34">#REF!</definedName>
    <definedName name="FKERES_BLOKK_11_1_12">#REF!</definedName>
    <definedName name="FKERES_BLOKK_11_1_2" localSheetId="34">#REF!</definedName>
    <definedName name="FKERES_BLOKK_11_1_2">#REF!</definedName>
    <definedName name="FKERES_BLOKK_11_1_7" localSheetId="34">#REF!</definedName>
    <definedName name="FKERES_BLOKK_11_1_7">#REF!</definedName>
    <definedName name="FKERES_BLOKK_11_1_8" localSheetId="34">#REF!</definedName>
    <definedName name="FKERES_BLOKK_11_1_8">#REF!</definedName>
    <definedName name="FKERES_BLOKK_11_12" localSheetId="34">#REF!</definedName>
    <definedName name="FKERES_BLOKK_11_12">#REF!</definedName>
    <definedName name="FKERES_BLOKK_11_3" localSheetId="34">#REF!</definedName>
    <definedName name="FKERES_BLOKK_11_3">#REF!</definedName>
    <definedName name="FKERES_BLOKK_11_3_12" localSheetId="34">#REF!</definedName>
    <definedName name="FKERES_BLOKK_11_3_12">#REF!</definedName>
    <definedName name="FKERES_BLOKK_11_3_2" localSheetId="34">#REF!</definedName>
    <definedName name="FKERES_BLOKK_11_3_2">#REF!</definedName>
    <definedName name="FKERES_BLOKK_11_3_7" localSheetId="34">#REF!</definedName>
    <definedName name="FKERES_BLOKK_11_3_7">#REF!</definedName>
    <definedName name="FKERES_BLOKK_11_3_8" localSheetId="34">#REF!</definedName>
    <definedName name="FKERES_BLOKK_11_3_8">#REF!</definedName>
    <definedName name="FKERES_BLOKK_11_5" localSheetId="34">#REF!</definedName>
    <definedName name="FKERES_BLOKK_11_5">#REF!</definedName>
    <definedName name="FKERES_BLOKK_11_5_12" localSheetId="34">#REF!</definedName>
    <definedName name="FKERES_BLOKK_11_5_12">#REF!</definedName>
    <definedName name="FKERES_BLOKK_11_5_2" localSheetId="34">#REF!</definedName>
    <definedName name="FKERES_BLOKK_11_5_2">#REF!</definedName>
    <definedName name="FKERES_BLOKK_11_5_7" localSheetId="34">#REF!</definedName>
    <definedName name="FKERES_BLOKK_11_5_7">#REF!</definedName>
    <definedName name="FKERES_BLOKK_11_5_8" localSheetId="34">#REF!</definedName>
    <definedName name="FKERES_BLOKK_11_5_8">#REF!</definedName>
    <definedName name="FKERES_BLOKK_11_7" localSheetId="34">#REF!</definedName>
    <definedName name="FKERES_BLOKK_11_7">#REF!</definedName>
    <definedName name="FKERES_BLOKK_11_8" localSheetId="34">#REF!</definedName>
    <definedName name="FKERES_BLOKK_11_8">#REF!</definedName>
    <definedName name="FKERES_BLOKK_12" localSheetId="5">#REF!</definedName>
    <definedName name="FKERES_BLOKK_12" localSheetId="34">#REF!</definedName>
    <definedName name="FKERES_BLOKK_12">#REF!</definedName>
    <definedName name="FKERES_BLOKK_12_1">NA()</definedName>
    <definedName name="FKERES_BLOKK_12_10" localSheetId="34">#REF!</definedName>
    <definedName name="FKERES_BLOKK_12_10" localSheetId="8">#REF!</definedName>
    <definedName name="FKERES_BLOKK_12_10">#REF!</definedName>
    <definedName name="FKERES_BLOKK_12_10_12" localSheetId="34">#REF!</definedName>
    <definedName name="FKERES_BLOKK_12_10_12">#REF!</definedName>
    <definedName name="FKERES_BLOKK_12_10_7" localSheetId="34">#REF!</definedName>
    <definedName name="FKERES_BLOKK_12_10_7">#REF!</definedName>
    <definedName name="FKERES_BLOKK_12_10_8" localSheetId="34">#REF!</definedName>
    <definedName name="FKERES_BLOKK_12_10_8">#REF!</definedName>
    <definedName name="FKERES_BLOKK_12_12" localSheetId="34">#REF!</definedName>
    <definedName name="FKERES_BLOKK_12_12">#REF!</definedName>
    <definedName name="FKERES_BLOKK_12_7" localSheetId="34">#REF!</definedName>
    <definedName name="FKERES_BLOKK_12_7">#REF!</definedName>
    <definedName name="FKERES_BLOKK_12_8" localSheetId="34">#REF!</definedName>
    <definedName name="FKERES_BLOKK_12_8">#REF!</definedName>
    <definedName name="FKERES_BLOKK_15" localSheetId="5">#REF!</definedName>
    <definedName name="FKERES_BLOKK_15" localSheetId="34">#REF!</definedName>
    <definedName name="FKERES_BLOKK_15">#REF!</definedName>
    <definedName name="FKERES_BLOKK_15_1" localSheetId="34">#REF!</definedName>
    <definedName name="FKERES_BLOKK_15_1">#REF!</definedName>
    <definedName name="FKERES_BLOKK_15_10" localSheetId="34">#REF!</definedName>
    <definedName name="FKERES_BLOKK_15_10">#REF!</definedName>
    <definedName name="FKERES_BLOKK_15_10_12" localSheetId="34">#REF!</definedName>
    <definedName name="FKERES_BLOKK_15_10_12">#REF!</definedName>
    <definedName name="FKERES_BLOKK_15_10_7" localSheetId="34">#REF!</definedName>
    <definedName name="FKERES_BLOKK_15_10_7">#REF!</definedName>
    <definedName name="FKERES_BLOKK_15_10_8" localSheetId="34">#REF!</definedName>
    <definedName name="FKERES_BLOKK_15_10_8">#REF!</definedName>
    <definedName name="FKERES_BLOKK_15_11" localSheetId="34">#REF!</definedName>
    <definedName name="FKERES_BLOKK_15_11">#REF!</definedName>
    <definedName name="FKERES_BLOKK_15_11_1" localSheetId="34">#REF!</definedName>
    <definedName name="FKERES_BLOKK_15_11_1">#REF!</definedName>
    <definedName name="FKERES_BLOKK_15_11_1_1" localSheetId="34">#REF!</definedName>
    <definedName name="FKERES_BLOKK_15_11_1_1">#REF!</definedName>
    <definedName name="FKERES_BLOKK_15_11_1_1_1">NA()</definedName>
    <definedName name="FKERES_BLOKK_15_11_1_1_12" localSheetId="34">#REF!</definedName>
    <definedName name="FKERES_BLOKK_15_11_1_1_12" localSheetId="8">#REF!</definedName>
    <definedName name="FKERES_BLOKK_15_11_1_1_12">#REF!</definedName>
    <definedName name="FKERES_BLOKK_15_11_1_1_2" localSheetId="34">#REF!</definedName>
    <definedName name="FKERES_BLOKK_15_11_1_1_2">#REF!</definedName>
    <definedName name="FKERES_BLOKK_15_11_1_1_7" localSheetId="34">#REF!</definedName>
    <definedName name="FKERES_BLOKK_15_11_1_1_7">#REF!</definedName>
    <definedName name="FKERES_BLOKK_15_11_1_1_8" localSheetId="34">#REF!</definedName>
    <definedName name="FKERES_BLOKK_15_11_1_1_8">#REF!</definedName>
    <definedName name="FKERES_BLOKK_15_11_1_12" localSheetId="34">#REF!</definedName>
    <definedName name="FKERES_BLOKK_15_11_1_12">#REF!</definedName>
    <definedName name="FKERES_BLOKK_15_11_1_2" localSheetId="34">#REF!</definedName>
    <definedName name="FKERES_BLOKK_15_11_1_2">#REF!</definedName>
    <definedName name="FKERES_BLOKK_15_11_1_7" localSheetId="34">#REF!</definedName>
    <definedName name="FKERES_BLOKK_15_11_1_7">#REF!</definedName>
    <definedName name="FKERES_BLOKK_15_11_1_8" localSheetId="34">#REF!</definedName>
    <definedName name="FKERES_BLOKK_15_11_1_8">#REF!</definedName>
    <definedName name="FKERES_BLOKK_15_11_12" localSheetId="34">#REF!</definedName>
    <definedName name="FKERES_BLOKK_15_11_12">#REF!</definedName>
    <definedName name="FKERES_BLOKK_15_11_3" localSheetId="34">#REF!</definedName>
    <definedName name="FKERES_BLOKK_15_11_3">#REF!</definedName>
    <definedName name="FKERES_BLOKK_15_11_3_12" localSheetId="34">#REF!</definedName>
    <definedName name="FKERES_BLOKK_15_11_3_12">#REF!</definedName>
    <definedName name="FKERES_BLOKK_15_11_3_2" localSheetId="34">#REF!</definedName>
    <definedName name="FKERES_BLOKK_15_11_3_2">#REF!</definedName>
    <definedName name="FKERES_BLOKK_15_11_3_7" localSheetId="34">#REF!</definedName>
    <definedName name="FKERES_BLOKK_15_11_3_7">#REF!</definedName>
    <definedName name="FKERES_BLOKK_15_11_3_8" localSheetId="34">#REF!</definedName>
    <definedName name="FKERES_BLOKK_15_11_3_8">#REF!</definedName>
    <definedName name="FKERES_BLOKK_15_11_5" localSheetId="34">#REF!</definedName>
    <definedName name="FKERES_BLOKK_15_11_5">#REF!</definedName>
    <definedName name="FKERES_BLOKK_15_11_5_12" localSheetId="34">#REF!</definedName>
    <definedName name="FKERES_BLOKK_15_11_5_12">#REF!</definedName>
    <definedName name="FKERES_BLOKK_15_11_5_2" localSheetId="34">#REF!</definedName>
    <definedName name="FKERES_BLOKK_15_11_5_2">#REF!</definedName>
    <definedName name="FKERES_BLOKK_15_11_5_7" localSheetId="34">#REF!</definedName>
    <definedName name="FKERES_BLOKK_15_11_5_7">#REF!</definedName>
    <definedName name="FKERES_BLOKK_15_11_5_8" localSheetId="34">#REF!</definedName>
    <definedName name="FKERES_BLOKK_15_11_5_8">#REF!</definedName>
    <definedName name="FKERES_BLOKK_15_11_7" localSheetId="34">#REF!</definedName>
    <definedName name="FKERES_BLOKK_15_11_7">#REF!</definedName>
    <definedName name="FKERES_BLOKK_15_11_8" localSheetId="34">#REF!</definedName>
    <definedName name="FKERES_BLOKK_15_11_8">#REF!</definedName>
    <definedName name="FKERES_BLOKK_15_12" localSheetId="5">#REF!</definedName>
    <definedName name="FKERES_BLOKK_15_12" localSheetId="34">#REF!</definedName>
    <definedName name="FKERES_BLOKK_15_12">#REF!</definedName>
    <definedName name="FKERES_BLOKK_15_12_1">NA()</definedName>
    <definedName name="FKERES_BLOKK_15_12_10" localSheetId="34">#REF!</definedName>
    <definedName name="FKERES_BLOKK_15_12_10" localSheetId="8">#REF!</definedName>
    <definedName name="FKERES_BLOKK_15_12_10">#REF!</definedName>
    <definedName name="FKERES_BLOKK_15_12_10_12" localSheetId="34">#REF!</definedName>
    <definedName name="FKERES_BLOKK_15_12_10_12">#REF!</definedName>
    <definedName name="FKERES_BLOKK_15_12_10_7" localSheetId="34">#REF!</definedName>
    <definedName name="FKERES_BLOKK_15_12_10_7">#REF!</definedName>
    <definedName name="FKERES_BLOKK_15_12_10_8" localSheetId="34">#REF!</definedName>
    <definedName name="FKERES_BLOKK_15_12_10_8">#REF!</definedName>
    <definedName name="FKERES_BLOKK_15_12_12" localSheetId="34">#REF!</definedName>
    <definedName name="FKERES_BLOKK_15_12_12">#REF!</definedName>
    <definedName name="FKERES_BLOKK_15_12_7" localSheetId="34">#REF!</definedName>
    <definedName name="FKERES_BLOKK_15_12_7">#REF!</definedName>
    <definedName name="FKERES_BLOKK_15_12_8" localSheetId="34">#REF!</definedName>
    <definedName name="FKERES_BLOKK_15_12_8">#REF!</definedName>
    <definedName name="FKERES_BLOKK_15_2" localSheetId="34">#REF!</definedName>
    <definedName name="FKERES_BLOKK_15_2">#REF!</definedName>
    <definedName name="FKERES_BLOKK_15_3" localSheetId="34">#REF!</definedName>
    <definedName name="FKERES_BLOKK_15_3">#REF!</definedName>
    <definedName name="FKERES_BLOKK_15_4" localSheetId="34">#REF!</definedName>
    <definedName name="FKERES_BLOKK_15_4">#REF!</definedName>
    <definedName name="FKERES_BLOKK_15_7" localSheetId="34">#REF!</definedName>
    <definedName name="FKERES_BLOKK_15_7">#REF!</definedName>
    <definedName name="FKERES_BLOKK_15_8" localSheetId="34">#REF!</definedName>
    <definedName name="FKERES_BLOKK_15_8">#REF!</definedName>
    <definedName name="FKERES_BLOKK_15_9" localSheetId="34">#REF!</definedName>
    <definedName name="FKERES_BLOKK_15_9">#REF!</definedName>
    <definedName name="FKERES_BLOKK_15_9_1">NA()</definedName>
    <definedName name="FKERES_BLOKK_15_9_12" localSheetId="34">#REF!</definedName>
    <definedName name="FKERES_BLOKK_15_9_12" localSheetId="8">#REF!</definedName>
    <definedName name="FKERES_BLOKK_15_9_12">#REF!</definedName>
    <definedName name="FKERES_BLOKK_15_9_7" localSheetId="34">#REF!</definedName>
    <definedName name="FKERES_BLOKK_15_9_7">#REF!</definedName>
    <definedName name="FKERES_BLOKK_15_9_8" localSheetId="34">#REF!</definedName>
    <definedName name="FKERES_BLOKK_15_9_8">#REF!</definedName>
    <definedName name="FKERES_BLOKK_2" localSheetId="5">#REF!</definedName>
    <definedName name="FKERES_BLOKK_2" localSheetId="34">#REF!</definedName>
    <definedName name="FKERES_BLOKK_2">#REF!</definedName>
    <definedName name="FKERES_BLOKK_2_1" localSheetId="34">#REF!</definedName>
    <definedName name="FKERES_BLOKK_2_1">#REF!</definedName>
    <definedName name="FKERES_BLOKK_2_1_1" localSheetId="34">#REF!</definedName>
    <definedName name="FKERES_BLOKK_2_1_1">#REF!</definedName>
    <definedName name="FKERES_BLOKK_2_10" localSheetId="34">#REF!</definedName>
    <definedName name="FKERES_BLOKK_2_10">#REF!</definedName>
    <definedName name="FKERES_BLOKK_2_10_12" localSheetId="34">#REF!</definedName>
    <definedName name="FKERES_BLOKK_2_10_12">#REF!</definedName>
    <definedName name="FKERES_BLOKK_2_10_7" localSheetId="34">#REF!</definedName>
    <definedName name="FKERES_BLOKK_2_10_7">#REF!</definedName>
    <definedName name="FKERES_BLOKK_2_10_8" localSheetId="34">#REF!</definedName>
    <definedName name="FKERES_BLOKK_2_10_8">#REF!</definedName>
    <definedName name="FKERES_BLOKK_2_11" localSheetId="34">#REF!</definedName>
    <definedName name="FKERES_BLOKK_2_11">#REF!</definedName>
    <definedName name="FKERES_BLOKK_2_11_1" localSheetId="34">#REF!</definedName>
    <definedName name="FKERES_BLOKK_2_11_1">#REF!</definedName>
    <definedName name="FKERES_BLOKK_2_11_1_1" localSheetId="34">#REF!</definedName>
    <definedName name="FKERES_BLOKK_2_11_1_1">#REF!</definedName>
    <definedName name="FKERES_BLOKK_2_11_1_1_1">NA()</definedName>
    <definedName name="FKERES_BLOKK_2_11_1_1_12" localSheetId="34">#REF!</definedName>
    <definedName name="FKERES_BLOKK_2_11_1_1_12" localSheetId="8">#REF!</definedName>
    <definedName name="FKERES_BLOKK_2_11_1_1_12">#REF!</definedName>
    <definedName name="FKERES_BLOKK_2_11_1_1_2" localSheetId="34">#REF!</definedName>
    <definedName name="FKERES_BLOKK_2_11_1_1_2">#REF!</definedName>
    <definedName name="FKERES_BLOKK_2_11_1_1_7" localSheetId="34">#REF!</definedName>
    <definedName name="FKERES_BLOKK_2_11_1_1_7">#REF!</definedName>
    <definedName name="FKERES_BLOKK_2_11_1_1_8" localSheetId="34">#REF!</definedName>
    <definedName name="FKERES_BLOKK_2_11_1_1_8">#REF!</definedName>
    <definedName name="FKERES_BLOKK_2_11_1_12" localSheetId="34">#REF!</definedName>
    <definedName name="FKERES_BLOKK_2_11_1_12">#REF!</definedName>
    <definedName name="FKERES_BLOKK_2_11_1_2" localSheetId="34">#REF!</definedName>
    <definedName name="FKERES_BLOKK_2_11_1_2">#REF!</definedName>
    <definedName name="FKERES_BLOKK_2_11_1_7" localSheetId="34">#REF!</definedName>
    <definedName name="FKERES_BLOKK_2_11_1_7">#REF!</definedName>
    <definedName name="FKERES_BLOKK_2_11_1_8" localSheetId="34">#REF!</definedName>
    <definedName name="FKERES_BLOKK_2_11_1_8">#REF!</definedName>
    <definedName name="FKERES_BLOKK_2_11_12" localSheetId="34">#REF!</definedName>
    <definedName name="FKERES_BLOKK_2_11_12">#REF!</definedName>
    <definedName name="FKERES_BLOKK_2_11_3" localSheetId="34">#REF!</definedName>
    <definedName name="FKERES_BLOKK_2_11_3">#REF!</definedName>
    <definedName name="FKERES_BLOKK_2_11_3_12" localSheetId="34">#REF!</definedName>
    <definedName name="FKERES_BLOKK_2_11_3_12">#REF!</definedName>
    <definedName name="FKERES_BLOKK_2_11_3_2" localSheetId="34">#REF!</definedName>
    <definedName name="FKERES_BLOKK_2_11_3_2">#REF!</definedName>
    <definedName name="FKERES_BLOKK_2_11_3_7" localSheetId="34">#REF!</definedName>
    <definedName name="FKERES_BLOKK_2_11_3_7">#REF!</definedName>
    <definedName name="FKERES_BLOKK_2_11_3_8" localSheetId="34">#REF!</definedName>
    <definedName name="FKERES_BLOKK_2_11_3_8">#REF!</definedName>
    <definedName name="FKERES_BLOKK_2_11_5" localSheetId="34">#REF!</definedName>
    <definedName name="FKERES_BLOKK_2_11_5">#REF!</definedName>
    <definedName name="FKERES_BLOKK_2_11_5_12" localSheetId="34">#REF!</definedName>
    <definedName name="FKERES_BLOKK_2_11_5_12">#REF!</definedName>
    <definedName name="FKERES_BLOKK_2_11_5_2" localSheetId="34">#REF!</definedName>
    <definedName name="FKERES_BLOKK_2_11_5_2">#REF!</definedName>
    <definedName name="FKERES_BLOKK_2_11_5_7" localSheetId="34">#REF!</definedName>
    <definedName name="FKERES_BLOKK_2_11_5_7">#REF!</definedName>
    <definedName name="FKERES_BLOKK_2_11_5_8" localSheetId="34">#REF!</definedName>
    <definedName name="FKERES_BLOKK_2_11_5_8">#REF!</definedName>
    <definedName name="FKERES_BLOKK_2_11_7" localSheetId="34">#REF!</definedName>
    <definedName name="FKERES_BLOKK_2_11_7">#REF!</definedName>
    <definedName name="FKERES_BLOKK_2_11_8" localSheetId="34">#REF!</definedName>
    <definedName name="FKERES_BLOKK_2_11_8">#REF!</definedName>
    <definedName name="FKERES_BLOKK_2_12" localSheetId="5">#REF!</definedName>
    <definedName name="FKERES_BLOKK_2_12" localSheetId="34">#REF!</definedName>
    <definedName name="FKERES_BLOKK_2_12">#REF!</definedName>
    <definedName name="FKERES_BLOKK_2_2" localSheetId="34">#REF!</definedName>
    <definedName name="FKERES_BLOKK_2_2">#REF!</definedName>
    <definedName name="FKERES_BLOKK_2_3" localSheetId="34">#REF!</definedName>
    <definedName name="FKERES_BLOKK_2_3">#REF!</definedName>
    <definedName name="FKERES_BLOKK_2_4" localSheetId="34">#REF!</definedName>
    <definedName name="FKERES_BLOKK_2_4">#REF!</definedName>
    <definedName name="FKERES_BLOKK_2_7" localSheetId="34">#REF!</definedName>
    <definedName name="FKERES_BLOKK_2_7">#REF!</definedName>
    <definedName name="FKERES_BLOKK_2_8" localSheetId="34">#REF!</definedName>
    <definedName name="FKERES_BLOKK_2_8">#REF!</definedName>
    <definedName name="FKERES_BLOKK_20" localSheetId="5">#REF!</definedName>
    <definedName name="FKERES_BLOKK_20" localSheetId="34">#REF!</definedName>
    <definedName name="FKERES_BLOKK_20">#REF!</definedName>
    <definedName name="FKERES_BLOKK_20_1" localSheetId="34">#REF!</definedName>
    <definedName name="FKERES_BLOKK_20_1">#REF!</definedName>
    <definedName name="FKERES_BLOKK_20_10" localSheetId="34">#REF!</definedName>
    <definedName name="FKERES_BLOKK_20_10">#REF!</definedName>
    <definedName name="FKERES_BLOKK_20_10_12" localSheetId="34">#REF!</definedName>
    <definedName name="FKERES_BLOKK_20_10_12">#REF!</definedName>
    <definedName name="FKERES_BLOKK_20_10_7" localSheetId="34">#REF!</definedName>
    <definedName name="FKERES_BLOKK_20_10_7">#REF!</definedName>
    <definedName name="FKERES_BLOKK_20_10_8" localSheetId="34">#REF!</definedName>
    <definedName name="FKERES_BLOKK_20_10_8">#REF!</definedName>
    <definedName name="FKERES_BLOKK_20_11" localSheetId="34">#REF!</definedName>
    <definedName name="FKERES_BLOKK_20_11">#REF!</definedName>
    <definedName name="FKERES_BLOKK_20_11_1" localSheetId="34">#REF!</definedName>
    <definedName name="FKERES_BLOKK_20_11_1">#REF!</definedName>
    <definedName name="FKERES_BLOKK_20_11_1_1" localSheetId="34">#REF!</definedName>
    <definedName name="FKERES_BLOKK_20_11_1_1">#REF!</definedName>
    <definedName name="FKERES_BLOKK_20_11_1_1_1">NA()</definedName>
    <definedName name="FKERES_BLOKK_20_11_1_1_12" localSheetId="34">#REF!</definedName>
    <definedName name="FKERES_BLOKK_20_11_1_1_12" localSheetId="8">#REF!</definedName>
    <definedName name="FKERES_BLOKK_20_11_1_1_12">#REF!</definedName>
    <definedName name="FKERES_BLOKK_20_11_1_1_2" localSheetId="34">#REF!</definedName>
    <definedName name="FKERES_BLOKK_20_11_1_1_2">#REF!</definedName>
    <definedName name="FKERES_BLOKK_20_11_1_1_7" localSheetId="34">#REF!</definedName>
    <definedName name="FKERES_BLOKK_20_11_1_1_7">#REF!</definedName>
    <definedName name="FKERES_BLOKK_20_11_1_1_8" localSheetId="34">#REF!</definedName>
    <definedName name="FKERES_BLOKK_20_11_1_1_8">#REF!</definedName>
    <definedName name="FKERES_BLOKK_20_11_1_12" localSheetId="34">#REF!</definedName>
    <definedName name="FKERES_BLOKK_20_11_1_12">#REF!</definedName>
    <definedName name="FKERES_BLOKK_20_11_1_2" localSheetId="34">#REF!</definedName>
    <definedName name="FKERES_BLOKK_20_11_1_2">#REF!</definedName>
    <definedName name="FKERES_BLOKK_20_11_1_7" localSheetId="34">#REF!</definedName>
    <definedName name="FKERES_BLOKK_20_11_1_7">#REF!</definedName>
    <definedName name="FKERES_BLOKK_20_11_1_8" localSheetId="34">#REF!</definedName>
    <definedName name="FKERES_BLOKK_20_11_1_8">#REF!</definedName>
    <definedName name="FKERES_BLOKK_20_11_12" localSheetId="34">#REF!</definedName>
    <definedName name="FKERES_BLOKK_20_11_12">#REF!</definedName>
    <definedName name="FKERES_BLOKK_20_11_3" localSheetId="34">#REF!</definedName>
    <definedName name="FKERES_BLOKK_20_11_3">#REF!</definedName>
    <definedName name="FKERES_BLOKK_20_11_3_12" localSheetId="34">#REF!</definedName>
    <definedName name="FKERES_BLOKK_20_11_3_12">#REF!</definedName>
    <definedName name="FKERES_BLOKK_20_11_3_2" localSheetId="34">#REF!</definedName>
    <definedName name="FKERES_BLOKK_20_11_3_2">#REF!</definedName>
    <definedName name="FKERES_BLOKK_20_11_3_7" localSheetId="34">#REF!</definedName>
    <definedName name="FKERES_BLOKK_20_11_3_7">#REF!</definedName>
    <definedName name="FKERES_BLOKK_20_11_3_8" localSheetId="34">#REF!</definedName>
    <definedName name="FKERES_BLOKK_20_11_3_8">#REF!</definedName>
    <definedName name="FKERES_BLOKK_20_11_5" localSheetId="34">#REF!</definedName>
    <definedName name="FKERES_BLOKK_20_11_5">#REF!</definedName>
    <definedName name="FKERES_BLOKK_20_11_5_12" localSheetId="34">#REF!</definedName>
    <definedName name="FKERES_BLOKK_20_11_5_12">#REF!</definedName>
    <definedName name="FKERES_BLOKK_20_11_5_2" localSheetId="34">#REF!</definedName>
    <definedName name="FKERES_BLOKK_20_11_5_2">#REF!</definedName>
    <definedName name="FKERES_BLOKK_20_11_5_7" localSheetId="34">#REF!</definedName>
    <definedName name="FKERES_BLOKK_20_11_5_7">#REF!</definedName>
    <definedName name="FKERES_BLOKK_20_11_5_8" localSheetId="34">#REF!</definedName>
    <definedName name="FKERES_BLOKK_20_11_5_8">#REF!</definedName>
    <definedName name="FKERES_BLOKK_20_11_7" localSheetId="34">#REF!</definedName>
    <definedName name="FKERES_BLOKK_20_11_7">#REF!</definedName>
    <definedName name="FKERES_BLOKK_20_11_8" localSheetId="34">#REF!</definedName>
    <definedName name="FKERES_BLOKK_20_11_8">#REF!</definedName>
    <definedName name="FKERES_BLOKK_20_12" localSheetId="5">#REF!</definedName>
    <definedName name="FKERES_BLOKK_20_12" localSheetId="34">#REF!</definedName>
    <definedName name="FKERES_BLOKK_20_12">#REF!</definedName>
    <definedName name="FKERES_BLOKK_20_12_1">NA()</definedName>
    <definedName name="FKERES_BLOKK_20_12_10" localSheetId="34">#REF!</definedName>
    <definedName name="FKERES_BLOKK_20_12_10" localSheetId="8">#REF!</definedName>
    <definedName name="FKERES_BLOKK_20_12_10">#REF!</definedName>
    <definedName name="FKERES_BLOKK_20_12_10_12" localSheetId="34">#REF!</definedName>
    <definedName name="FKERES_BLOKK_20_12_10_12">#REF!</definedName>
    <definedName name="FKERES_BLOKK_20_12_10_7" localSheetId="34">#REF!</definedName>
    <definedName name="FKERES_BLOKK_20_12_10_7">#REF!</definedName>
    <definedName name="FKERES_BLOKK_20_12_10_8" localSheetId="34">#REF!</definedName>
    <definedName name="FKERES_BLOKK_20_12_10_8">#REF!</definedName>
    <definedName name="FKERES_BLOKK_20_12_12" localSheetId="34">#REF!</definedName>
    <definedName name="FKERES_BLOKK_20_12_12">#REF!</definedName>
    <definedName name="FKERES_BLOKK_20_12_7" localSheetId="34">#REF!</definedName>
    <definedName name="FKERES_BLOKK_20_12_7">#REF!</definedName>
    <definedName name="FKERES_BLOKK_20_12_8" localSheetId="34">#REF!</definedName>
    <definedName name="FKERES_BLOKK_20_12_8">#REF!</definedName>
    <definedName name="FKERES_BLOKK_20_2" localSheetId="34">#REF!</definedName>
    <definedName name="FKERES_BLOKK_20_2">#REF!</definedName>
    <definedName name="FKERES_BLOKK_20_3" localSheetId="34">#REF!</definedName>
    <definedName name="FKERES_BLOKK_20_3">#REF!</definedName>
    <definedName name="FKERES_BLOKK_20_4" localSheetId="34">#REF!</definedName>
    <definedName name="FKERES_BLOKK_20_4">#REF!</definedName>
    <definedName name="FKERES_BLOKK_20_7" localSheetId="34">#REF!</definedName>
    <definedName name="FKERES_BLOKK_20_7">#REF!</definedName>
    <definedName name="FKERES_BLOKK_20_8" localSheetId="34">#REF!</definedName>
    <definedName name="FKERES_BLOKK_20_8">#REF!</definedName>
    <definedName name="FKERES_BLOKK_20_9" localSheetId="34">#REF!</definedName>
    <definedName name="FKERES_BLOKK_20_9">#REF!</definedName>
    <definedName name="FKERES_BLOKK_20_9_1">NA()</definedName>
    <definedName name="FKERES_BLOKK_20_9_12" localSheetId="34">#REF!</definedName>
    <definedName name="FKERES_BLOKK_20_9_12" localSheetId="8">#REF!</definedName>
    <definedName name="FKERES_BLOKK_20_9_12">#REF!</definedName>
    <definedName name="FKERES_BLOKK_20_9_7" localSheetId="34">#REF!</definedName>
    <definedName name="FKERES_BLOKK_20_9_7">#REF!</definedName>
    <definedName name="FKERES_BLOKK_20_9_8" localSheetId="34">#REF!</definedName>
    <definedName name="FKERES_BLOKK_20_9_8">#REF!</definedName>
    <definedName name="FKERES_BLOKK_24" localSheetId="5">#REF!</definedName>
    <definedName name="FKERES_BLOKK_24" localSheetId="34">#REF!</definedName>
    <definedName name="FKERES_BLOKK_24">#REF!</definedName>
    <definedName name="FKERES_BLOKK_24_1" localSheetId="34">#REF!</definedName>
    <definedName name="FKERES_BLOKK_24_1">#REF!</definedName>
    <definedName name="FKERES_BLOKK_24_10" localSheetId="34">#REF!</definedName>
    <definedName name="FKERES_BLOKK_24_10">#REF!</definedName>
    <definedName name="FKERES_BLOKK_24_10_12" localSheetId="34">#REF!</definedName>
    <definedName name="FKERES_BLOKK_24_10_12">#REF!</definedName>
    <definedName name="FKERES_BLOKK_24_10_7" localSheetId="34">#REF!</definedName>
    <definedName name="FKERES_BLOKK_24_10_7">#REF!</definedName>
    <definedName name="FKERES_BLOKK_24_10_8" localSheetId="34">#REF!</definedName>
    <definedName name="FKERES_BLOKK_24_10_8">#REF!</definedName>
    <definedName name="FKERES_BLOKK_24_11" localSheetId="34">#REF!</definedName>
    <definedName name="FKERES_BLOKK_24_11">#REF!</definedName>
    <definedName name="FKERES_BLOKK_24_11_1" localSheetId="34">#REF!</definedName>
    <definedName name="FKERES_BLOKK_24_11_1">#REF!</definedName>
    <definedName name="FKERES_BLOKK_24_11_1_1" localSheetId="34">#REF!</definedName>
    <definedName name="FKERES_BLOKK_24_11_1_1">#REF!</definedName>
    <definedName name="FKERES_BLOKK_24_11_1_1_1">NA()</definedName>
    <definedName name="FKERES_BLOKK_24_11_1_1_12" localSheetId="34">#REF!</definedName>
    <definedName name="FKERES_BLOKK_24_11_1_1_12" localSheetId="8">#REF!</definedName>
    <definedName name="FKERES_BLOKK_24_11_1_1_12">#REF!</definedName>
    <definedName name="FKERES_BLOKK_24_11_1_1_2" localSheetId="34">#REF!</definedName>
    <definedName name="FKERES_BLOKK_24_11_1_1_2">#REF!</definedName>
    <definedName name="FKERES_BLOKK_24_11_1_1_7" localSheetId="34">#REF!</definedName>
    <definedName name="FKERES_BLOKK_24_11_1_1_7">#REF!</definedName>
    <definedName name="FKERES_BLOKK_24_11_1_1_8" localSheetId="34">#REF!</definedName>
    <definedName name="FKERES_BLOKK_24_11_1_1_8">#REF!</definedName>
    <definedName name="FKERES_BLOKK_24_11_1_12" localSheetId="34">#REF!</definedName>
    <definedName name="FKERES_BLOKK_24_11_1_12">#REF!</definedName>
    <definedName name="FKERES_BLOKK_24_11_1_2" localSheetId="34">#REF!</definedName>
    <definedName name="FKERES_BLOKK_24_11_1_2">#REF!</definedName>
    <definedName name="FKERES_BLOKK_24_11_1_7" localSheetId="34">#REF!</definedName>
    <definedName name="FKERES_BLOKK_24_11_1_7">#REF!</definedName>
    <definedName name="FKERES_BLOKK_24_11_1_8" localSheetId="34">#REF!</definedName>
    <definedName name="FKERES_BLOKK_24_11_1_8">#REF!</definedName>
    <definedName name="FKERES_BLOKK_24_11_12" localSheetId="34">#REF!</definedName>
    <definedName name="FKERES_BLOKK_24_11_12">#REF!</definedName>
    <definedName name="FKERES_BLOKK_24_11_3" localSheetId="34">#REF!</definedName>
    <definedName name="FKERES_BLOKK_24_11_3">#REF!</definedName>
    <definedName name="FKERES_BLOKK_24_11_3_12" localSheetId="34">#REF!</definedName>
    <definedName name="FKERES_BLOKK_24_11_3_12">#REF!</definedName>
    <definedName name="FKERES_BLOKK_24_11_3_2" localSheetId="34">#REF!</definedName>
    <definedName name="FKERES_BLOKK_24_11_3_2">#REF!</definedName>
    <definedName name="FKERES_BLOKK_24_11_3_7" localSheetId="34">#REF!</definedName>
    <definedName name="FKERES_BLOKK_24_11_3_7">#REF!</definedName>
    <definedName name="FKERES_BLOKK_24_11_3_8" localSheetId="34">#REF!</definedName>
    <definedName name="FKERES_BLOKK_24_11_3_8">#REF!</definedName>
    <definedName name="FKERES_BLOKK_24_11_5" localSheetId="34">#REF!</definedName>
    <definedName name="FKERES_BLOKK_24_11_5">#REF!</definedName>
    <definedName name="FKERES_BLOKK_24_11_5_12" localSheetId="34">#REF!</definedName>
    <definedName name="FKERES_BLOKK_24_11_5_12">#REF!</definedName>
    <definedName name="FKERES_BLOKK_24_11_5_2" localSheetId="34">#REF!</definedName>
    <definedName name="FKERES_BLOKK_24_11_5_2">#REF!</definedName>
    <definedName name="FKERES_BLOKK_24_11_5_7" localSheetId="34">#REF!</definedName>
    <definedName name="FKERES_BLOKK_24_11_5_7">#REF!</definedName>
    <definedName name="FKERES_BLOKK_24_11_5_8" localSheetId="34">#REF!</definedName>
    <definedName name="FKERES_BLOKK_24_11_5_8">#REF!</definedName>
    <definedName name="FKERES_BLOKK_24_11_7" localSheetId="34">#REF!</definedName>
    <definedName name="FKERES_BLOKK_24_11_7">#REF!</definedName>
    <definedName name="FKERES_BLOKK_24_11_8" localSheetId="34">#REF!</definedName>
    <definedName name="FKERES_BLOKK_24_11_8">#REF!</definedName>
    <definedName name="FKERES_BLOKK_24_12" localSheetId="5">#REF!</definedName>
    <definedName name="FKERES_BLOKK_24_12" localSheetId="34">#REF!</definedName>
    <definedName name="FKERES_BLOKK_24_12">#REF!</definedName>
    <definedName name="FKERES_BLOKK_24_12_1">NA()</definedName>
    <definedName name="FKERES_BLOKK_24_12_10" localSheetId="34">#REF!</definedName>
    <definedName name="FKERES_BLOKK_24_12_10" localSheetId="8">#REF!</definedName>
    <definedName name="FKERES_BLOKK_24_12_10">#REF!</definedName>
    <definedName name="FKERES_BLOKK_24_12_10_12" localSheetId="34">#REF!</definedName>
    <definedName name="FKERES_BLOKK_24_12_10_12">#REF!</definedName>
    <definedName name="FKERES_BLOKK_24_12_10_7" localSheetId="34">#REF!</definedName>
    <definedName name="FKERES_BLOKK_24_12_10_7">#REF!</definedName>
    <definedName name="FKERES_BLOKK_24_12_10_8" localSheetId="34">#REF!</definedName>
    <definedName name="FKERES_BLOKK_24_12_10_8">#REF!</definedName>
    <definedName name="FKERES_BLOKK_24_12_12" localSheetId="34">#REF!</definedName>
    <definedName name="FKERES_BLOKK_24_12_12">#REF!</definedName>
    <definedName name="FKERES_BLOKK_24_12_7" localSheetId="34">#REF!</definedName>
    <definedName name="FKERES_BLOKK_24_12_7">#REF!</definedName>
    <definedName name="FKERES_BLOKK_24_12_8" localSheetId="34">#REF!</definedName>
    <definedName name="FKERES_BLOKK_24_12_8">#REF!</definedName>
    <definedName name="FKERES_BLOKK_24_2" localSheetId="34">#REF!</definedName>
    <definedName name="FKERES_BLOKK_24_2">#REF!</definedName>
    <definedName name="FKERES_BLOKK_24_3" localSheetId="34">#REF!</definedName>
    <definedName name="FKERES_BLOKK_24_3">#REF!</definedName>
    <definedName name="FKERES_BLOKK_24_4" localSheetId="34">#REF!</definedName>
    <definedName name="FKERES_BLOKK_24_4">#REF!</definedName>
    <definedName name="FKERES_BLOKK_24_7" localSheetId="34">#REF!</definedName>
    <definedName name="FKERES_BLOKK_24_7">#REF!</definedName>
    <definedName name="FKERES_BLOKK_24_8" localSheetId="34">#REF!</definedName>
    <definedName name="FKERES_BLOKK_24_8">#REF!</definedName>
    <definedName name="FKERES_BLOKK_24_9" localSheetId="34">#REF!</definedName>
    <definedName name="FKERES_BLOKK_24_9">#REF!</definedName>
    <definedName name="FKERES_BLOKK_24_9_1">NA()</definedName>
    <definedName name="FKERES_BLOKK_24_9_12" localSheetId="34">#REF!</definedName>
    <definedName name="FKERES_BLOKK_24_9_12" localSheetId="8">#REF!</definedName>
    <definedName name="FKERES_BLOKK_24_9_12">#REF!</definedName>
    <definedName name="FKERES_BLOKK_24_9_7" localSheetId="34">#REF!</definedName>
    <definedName name="FKERES_BLOKK_24_9_7">#REF!</definedName>
    <definedName name="FKERES_BLOKK_24_9_8" localSheetId="34">#REF!</definedName>
    <definedName name="FKERES_BLOKK_24_9_8">#REF!</definedName>
    <definedName name="FKERES_BLOKK_28" localSheetId="5">#REF!</definedName>
    <definedName name="FKERES_BLOKK_28" localSheetId="34">#REF!</definedName>
    <definedName name="FKERES_BLOKK_28">#REF!</definedName>
    <definedName name="FKERES_BLOKK_28_1" localSheetId="34">#REF!</definedName>
    <definedName name="FKERES_BLOKK_28_1">#REF!</definedName>
    <definedName name="FKERES_BLOKK_28_10" localSheetId="34">#REF!</definedName>
    <definedName name="FKERES_BLOKK_28_10">#REF!</definedName>
    <definedName name="FKERES_BLOKK_28_10_12" localSheetId="34">#REF!</definedName>
    <definedName name="FKERES_BLOKK_28_10_12">#REF!</definedName>
    <definedName name="FKERES_BLOKK_28_10_7" localSheetId="34">#REF!</definedName>
    <definedName name="FKERES_BLOKK_28_10_7">#REF!</definedName>
    <definedName name="FKERES_BLOKK_28_10_8" localSheetId="34">#REF!</definedName>
    <definedName name="FKERES_BLOKK_28_10_8">#REF!</definedName>
    <definedName name="FKERES_BLOKK_28_11" localSheetId="34">#REF!</definedName>
    <definedName name="FKERES_BLOKK_28_11">#REF!</definedName>
    <definedName name="FKERES_BLOKK_28_11_1" localSheetId="34">#REF!</definedName>
    <definedName name="FKERES_BLOKK_28_11_1">#REF!</definedName>
    <definedName name="FKERES_BLOKK_28_11_1_1" localSheetId="34">#REF!</definedName>
    <definedName name="FKERES_BLOKK_28_11_1_1">#REF!</definedName>
    <definedName name="FKERES_BLOKK_28_11_1_1_1">NA()</definedName>
    <definedName name="FKERES_BLOKK_28_11_1_1_12" localSheetId="34">#REF!</definedName>
    <definedName name="FKERES_BLOKK_28_11_1_1_12" localSheetId="8">#REF!</definedName>
    <definedName name="FKERES_BLOKK_28_11_1_1_12">#REF!</definedName>
    <definedName name="FKERES_BLOKK_28_11_1_1_2" localSheetId="34">#REF!</definedName>
    <definedName name="FKERES_BLOKK_28_11_1_1_2">#REF!</definedName>
    <definedName name="FKERES_BLOKK_28_11_1_1_7" localSheetId="34">#REF!</definedName>
    <definedName name="FKERES_BLOKK_28_11_1_1_7">#REF!</definedName>
    <definedName name="FKERES_BLOKK_28_11_1_1_8" localSheetId="34">#REF!</definedName>
    <definedName name="FKERES_BLOKK_28_11_1_1_8">#REF!</definedName>
    <definedName name="FKERES_BLOKK_28_11_1_12" localSheetId="34">#REF!</definedName>
    <definedName name="FKERES_BLOKK_28_11_1_12">#REF!</definedName>
    <definedName name="FKERES_BLOKK_28_11_1_2" localSheetId="34">#REF!</definedName>
    <definedName name="FKERES_BLOKK_28_11_1_2">#REF!</definedName>
    <definedName name="FKERES_BLOKK_28_11_1_7" localSheetId="34">#REF!</definedName>
    <definedName name="FKERES_BLOKK_28_11_1_7">#REF!</definedName>
    <definedName name="FKERES_BLOKK_28_11_1_8" localSheetId="34">#REF!</definedName>
    <definedName name="FKERES_BLOKK_28_11_1_8">#REF!</definedName>
    <definedName name="FKERES_BLOKK_28_11_12" localSheetId="34">#REF!</definedName>
    <definedName name="FKERES_BLOKK_28_11_12">#REF!</definedName>
    <definedName name="FKERES_BLOKK_28_11_3" localSheetId="34">#REF!</definedName>
    <definedName name="FKERES_BLOKK_28_11_3">#REF!</definedName>
    <definedName name="FKERES_BLOKK_28_11_3_12" localSheetId="34">#REF!</definedName>
    <definedName name="FKERES_BLOKK_28_11_3_12">#REF!</definedName>
    <definedName name="FKERES_BLOKK_28_11_3_2" localSheetId="34">#REF!</definedName>
    <definedName name="FKERES_BLOKK_28_11_3_2">#REF!</definedName>
    <definedName name="FKERES_BLOKK_28_11_3_7" localSheetId="34">#REF!</definedName>
    <definedName name="FKERES_BLOKK_28_11_3_7">#REF!</definedName>
    <definedName name="FKERES_BLOKK_28_11_3_8" localSheetId="34">#REF!</definedName>
    <definedName name="FKERES_BLOKK_28_11_3_8">#REF!</definedName>
    <definedName name="FKERES_BLOKK_28_11_5" localSheetId="34">#REF!</definedName>
    <definedName name="FKERES_BLOKK_28_11_5">#REF!</definedName>
    <definedName name="FKERES_BLOKK_28_11_5_12" localSheetId="34">#REF!</definedName>
    <definedName name="FKERES_BLOKK_28_11_5_12">#REF!</definedName>
    <definedName name="FKERES_BLOKK_28_11_5_2" localSheetId="34">#REF!</definedName>
    <definedName name="FKERES_BLOKK_28_11_5_2">#REF!</definedName>
    <definedName name="FKERES_BLOKK_28_11_5_7" localSheetId="34">#REF!</definedName>
    <definedName name="FKERES_BLOKK_28_11_5_7">#REF!</definedName>
    <definedName name="FKERES_BLOKK_28_11_5_8" localSheetId="34">#REF!</definedName>
    <definedName name="FKERES_BLOKK_28_11_5_8">#REF!</definedName>
    <definedName name="FKERES_BLOKK_28_11_7" localSheetId="34">#REF!</definedName>
    <definedName name="FKERES_BLOKK_28_11_7">#REF!</definedName>
    <definedName name="FKERES_BLOKK_28_11_8" localSheetId="34">#REF!</definedName>
    <definedName name="FKERES_BLOKK_28_11_8">#REF!</definedName>
    <definedName name="FKERES_BLOKK_28_12" localSheetId="5">#REF!</definedName>
    <definedName name="FKERES_BLOKK_28_12" localSheetId="34">#REF!</definedName>
    <definedName name="FKERES_BLOKK_28_12">#REF!</definedName>
    <definedName name="FKERES_BLOKK_28_12_1">NA()</definedName>
    <definedName name="FKERES_BLOKK_28_12_10" localSheetId="34">#REF!</definedName>
    <definedName name="FKERES_BLOKK_28_12_10" localSheetId="8">#REF!</definedName>
    <definedName name="FKERES_BLOKK_28_12_10">#REF!</definedName>
    <definedName name="FKERES_BLOKK_28_12_10_12" localSheetId="34">#REF!</definedName>
    <definedName name="FKERES_BLOKK_28_12_10_12">#REF!</definedName>
    <definedName name="FKERES_BLOKK_28_12_10_7" localSheetId="34">#REF!</definedName>
    <definedName name="FKERES_BLOKK_28_12_10_7">#REF!</definedName>
    <definedName name="FKERES_BLOKK_28_12_10_8" localSheetId="34">#REF!</definedName>
    <definedName name="FKERES_BLOKK_28_12_10_8">#REF!</definedName>
    <definedName name="FKERES_BLOKK_28_12_12" localSheetId="34">#REF!</definedName>
    <definedName name="FKERES_BLOKK_28_12_12">#REF!</definedName>
    <definedName name="FKERES_BLOKK_28_12_7" localSheetId="34">#REF!</definedName>
    <definedName name="FKERES_BLOKK_28_12_7">#REF!</definedName>
    <definedName name="FKERES_BLOKK_28_12_8" localSheetId="34">#REF!</definedName>
    <definedName name="FKERES_BLOKK_28_12_8">#REF!</definedName>
    <definedName name="FKERES_BLOKK_28_2" localSheetId="34">#REF!</definedName>
    <definedName name="FKERES_BLOKK_28_2">#REF!</definedName>
    <definedName name="FKERES_BLOKK_28_3" localSheetId="34">#REF!</definedName>
    <definedName name="FKERES_BLOKK_28_3">#REF!</definedName>
    <definedName name="FKERES_BLOKK_28_4" localSheetId="34">#REF!</definedName>
    <definedName name="FKERES_BLOKK_28_4">#REF!</definedName>
    <definedName name="FKERES_BLOKK_28_7" localSheetId="34">#REF!</definedName>
    <definedName name="FKERES_BLOKK_28_7">#REF!</definedName>
    <definedName name="FKERES_BLOKK_28_8" localSheetId="34">#REF!</definedName>
    <definedName name="FKERES_BLOKK_28_8">#REF!</definedName>
    <definedName name="FKERES_BLOKK_28_9" localSheetId="34">#REF!</definedName>
    <definedName name="FKERES_BLOKK_28_9">#REF!</definedName>
    <definedName name="FKERES_BLOKK_28_9_1">NA()</definedName>
    <definedName name="FKERES_BLOKK_28_9_12" localSheetId="34">#REF!</definedName>
    <definedName name="FKERES_BLOKK_28_9_12" localSheetId="8">#REF!</definedName>
    <definedName name="FKERES_BLOKK_28_9_12">#REF!</definedName>
    <definedName name="FKERES_BLOKK_28_9_7" localSheetId="34">#REF!</definedName>
    <definedName name="FKERES_BLOKK_28_9_7">#REF!</definedName>
    <definedName name="FKERES_BLOKK_28_9_8" localSheetId="34">#REF!</definedName>
    <definedName name="FKERES_BLOKK_28_9_8">#REF!</definedName>
    <definedName name="FKERES_BLOKK_3" localSheetId="34">#REF!</definedName>
    <definedName name="FKERES_BLOKK_3">#REF!</definedName>
    <definedName name="FKERES_BLOKK_31" localSheetId="5">#REF!</definedName>
    <definedName name="FKERES_BLOKK_31" localSheetId="34">#REF!</definedName>
    <definedName name="FKERES_BLOKK_31">#REF!</definedName>
    <definedName name="FKERES_BLOKK_31_1" localSheetId="34">#REF!</definedName>
    <definedName name="FKERES_BLOKK_31_1">#REF!</definedName>
    <definedName name="FKERES_BLOKK_31_10" localSheetId="34">#REF!</definedName>
    <definedName name="FKERES_BLOKK_31_10">#REF!</definedName>
    <definedName name="FKERES_BLOKK_31_10_12" localSheetId="34">#REF!</definedName>
    <definedName name="FKERES_BLOKK_31_10_12">#REF!</definedName>
    <definedName name="FKERES_BLOKK_31_10_7" localSheetId="34">#REF!</definedName>
    <definedName name="FKERES_BLOKK_31_10_7">#REF!</definedName>
    <definedName name="FKERES_BLOKK_31_10_8" localSheetId="34">#REF!</definedName>
    <definedName name="FKERES_BLOKK_31_10_8">#REF!</definedName>
    <definedName name="FKERES_BLOKK_31_11" localSheetId="34">#REF!</definedName>
    <definedName name="FKERES_BLOKK_31_11">#REF!</definedName>
    <definedName name="FKERES_BLOKK_31_11_1" localSheetId="34">#REF!</definedName>
    <definedName name="FKERES_BLOKK_31_11_1">#REF!</definedName>
    <definedName name="FKERES_BLOKK_31_11_1_1" localSheetId="34">#REF!</definedName>
    <definedName name="FKERES_BLOKK_31_11_1_1">#REF!</definedName>
    <definedName name="FKERES_BLOKK_31_11_1_1_1">NA()</definedName>
    <definedName name="FKERES_BLOKK_31_11_1_1_12" localSheetId="34">#REF!</definedName>
    <definedName name="FKERES_BLOKK_31_11_1_1_12" localSheetId="8">#REF!</definedName>
    <definedName name="FKERES_BLOKK_31_11_1_1_12">#REF!</definedName>
    <definedName name="FKERES_BLOKK_31_11_1_1_2" localSheetId="34">#REF!</definedName>
    <definedName name="FKERES_BLOKK_31_11_1_1_2">#REF!</definedName>
    <definedName name="FKERES_BLOKK_31_11_1_1_7" localSheetId="34">#REF!</definedName>
    <definedName name="FKERES_BLOKK_31_11_1_1_7">#REF!</definedName>
    <definedName name="FKERES_BLOKK_31_11_1_1_8" localSheetId="34">#REF!</definedName>
    <definedName name="FKERES_BLOKK_31_11_1_1_8">#REF!</definedName>
    <definedName name="FKERES_BLOKK_31_11_1_12" localSheetId="34">#REF!</definedName>
    <definedName name="FKERES_BLOKK_31_11_1_12">#REF!</definedName>
    <definedName name="FKERES_BLOKK_31_11_1_2" localSheetId="34">#REF!</definedName>
    <definedName name="FKERES_BLOKK_31_11_1_2">#REF!</definedName>
    <definedName name="FKERES_BLOKK_31_11_1_7" localSheetId="34">#REF!</definedName>
    <definedName name="FKERES_BLOKK_31_11_1_7">#REF!</definedName>
    <definedName name="FKERES_BLOKK_31_11_1_8" localSheetId="34">#REF!</definedName>
    <definedName name="FKERES_BLOKK_31_11_1_8">#REF!</definedName>
    <definedName name="FKERES_BLOKK_31_11_12" localSheetId="34">#REF!</definedName>
    <definedName name="FKERES_BLOKK_31_11_12">#REF!</definedName>
    <definedName name="FKERES_BLOKK_31_11_3" localSheetId="34">#REF!</definedName>
    <definedName name="FKERES_BLOKK_31_11_3">#REF!</definedName>
    <definedName name="FKERES_BLOKK_31_11_3_12" localSheetId="34">#REF!</definedName>
    <definedName name="FKERES_BLOKK_31_11_3_12">#REF!</definedName>
    <definedName name="FKERES_BLOKK_31_11_3_2" localSheetId="34">#REF!</definedName>
    <definedName name="FKERES_BLOKK_31_11_3_2">#REF!</definedName>
    <definedName name="FKERES_BLOKK_31_11_3_7" localSheetId="34">#REF!</definedName>
    <definedName name="FKERES_BLOKK_31_11_3_7">#REF!</definedName>
    <definedName name="FKERES_BLOKK_31_11_3_8" localSheetId="34">#REF!</definedName>
    <definedName name="FKERES_BLOKK_31_11_3_8">#REF!</definedName>
    <definedName name="FKERES_BLOKK_31_11_5" localSheetId="34">#REF!</definedName>
    <definedName name="FKERES_BLOKK_31_11_5">#REF!</definedName>
    <definedName name="FKERES_BLOKK_31_11_5_12" localSheetId="34">#REF!</definedName>
    <definedName name="FKERES_BLOKK_31_11_5_12">#REF!</definedName>
    <definedName name="FKERES_BLOKK_31_11_5_2" localSheetId="34">#REF!</definedName>
    <definedName name="FKERES_BLOKK_31_11_5_2">#REF!</definedName>
    <definedName name="FKERES_BLOKK_31_11_5_7" localSheetId="34">#REF!</definedName>
    <definedName name="FKERES_BLOKK_31_11_5_7">#REF!</definedName>
    <definedName name="FKERES_BLOKK_31_11_5_8" localSheetId="34">#REF!</definedName>
    <definedName name="FKERES_BLOKK_31_11_5_8">#REF!</definedName>
    <definedName name="FKERES_BLOKK_31_11_7" localSheetId="34">#REF!</definedName>
    <definedName name="FKERES_BLOKK_31_11_7">#REF!</definedName>
    <definedName name="FKERES_BLOKK_31_11_8" localSheetId="34">#REF!</definedName>
    <definedName name="FKERES_BLOKK_31_11_8">#REF!</definedName>
    <definedName name="FKERES_BLOKK_31_12" localSheetId="5">#REF!</definedName>
    <definedName name="FKERES_BLOKK_31_12" localSheetId="34">#REF!</definedName>
    <definedName name="FKERES_BLOKK_31_12">#REF!</definedName>
    <definedName name="FKERES_BLOKK_31_12_1">NA()</definedName>
    <definedName name="FKERES_BLOKK_31_12_10" localSheetId="34">#REF!</definedName>
    <definedName name="FKERES_BLOKK_31_12_10" localSheetId="8">#REF!</definedName>
    <definedName name="FKERES_BLOKK_31_12_10">#REF!</definedName>
    <definedName name="FKERES_BLOKK_31_12_10_12" localSheetId="34">#REF!</definedName>
    <definedName name="FKERES_BLOKK_31_12_10_12">#REF!</definedName>
    <definedName name="FKERES_BLOKK_31_12_10_7" localSheetId="34">#REF!</definedName>
    <definedName name="FKERES_BLOKK_31_12_10_7">#REF!</definedName>
    <definedName name="FKERES_BLOKK_31_12_10_8" localSheetId="34">#REF!</definedName>
    <definedName name="FKERES_BLOKK_31_12_10_8">#REF!</definedName>
    <definedName name="FKERES_BLOKK_31_12_12" localSheetId="34">#REF!</definedName>
    <definedName name="FKERES_BLOKK_31_12_12">#REF!</definedName>
    <definedName name="FKERES_BLOKK_31_12_7" localSheetId="34">#REF!</definedName>
    <definedName name="FKERES_BLOKK_31_12_7">#REF!</definedName>
    <definedName name="FKERES_BLOKK_31_12_8" localSheetId="34">#REF!</definedName>
    <definedName name="FKERES_BLOKK_31_12_8">#REF!</definedName>
    <definedName name="FKERES_BLOKK_31_2" localSheetId="34">#REF!</definedName>
    <definedName name="FKERES_BLOKK_31_2">#REF!</definedName>
    <definedName name="FKERES_BLOKK_31_3" localSheetId="34">#REF!</definedName>
    <definedName name="FKERES_BLOKK_31_3">#REF!</definedName>
    <definedName name="FKERES_BLOKK_31_4" localSheetId="34">#REF!</definedName>
    <definedName name="FKERES_BLOKK_31_4">#REF!</definedName>
    <definedName name="FKERES_BLOKK_31_7" localSheetId="34">#REF!</definedName>
    <definedName name="FKERES_BLOKK_31_7">#REF!</definedName>
    <definedName name="FKERES_BLOKK_31_8" localSheetId="34">#REF!</definedName>
    <definedName name="FKERES_BLOKK_31_8">#REF!</definedName>
    <definedName name="FKERES_BLOKK_31_9" localSheetId="34">#REF!</definedName>
    <definedName name="FKERES_BLOKK_31_9">#REF!</definedName>
    <definedName name="FKERES_BLOKK_31_9_1">NA()</definedName>
    <definedName name="FKERES_BLOKK_31_9_12" localSheetId="34">#REF!</definedName>
    <definedName name="FKERES_BLOKK_31_9_12" localSheetId="8">#REF!</definedName>
    <definedName name="FKERES_BLOKK_31_9_12">#REF!</definedName>
    <definedName name="FKERES_BLOKK_31_9_7" localSheetId="34">#REF!</definedName>
    <definedName name="FKERES_BLOKK_31_9_7">#REF!</definedName>
    <definedName name="FKERES_BLOKK_31_9_8" localSheetId="34">#REF!</definedName>
    <definedName name="FKERES_BLOKK_31_9_8">#REF!</definedName>
    <definedName name="FKERES_BLOKK_4" localSheetId="34">#REF!</definedName>
    <definedName name="FKERES_BLOKK_4">#REF!</definedName>
    <definedName name="FKERES_BLOKK_7" localSheetId="34">#REF!</definedName>
    <definedName name="FKERES_BLOKK_7">#REF!</definedName>
    <definedName name="FKERES_BLOKK_8" localSheetId="34">#REF!</definedName>
    <definedName name="FKERES_BLOKK_8">#REF!</definedName>
    <definedName name="FKERES_BLOKK_9" localSheetId="34">#REF!</definedName>
    <definedName name="FKERES_BLOKK_9">#REF!</definedName>
    <definedName name="FKERES_BLOKK_9_1">NA()</definedName>
    <definedName name="FKERES_BLOKK_9_12" localSheetId="34">#REF!</definedName>
    <definedName name="FKERES_BLOKK_9_12" localSheetId="8">#REF!</definedName>
    <definedName name="FKERES_BLOKK_9_12">#REF!</definedName>
    <definedName name="FKERES_BLOKK_9_7" localSheetId="34">#REF!</definedName>
    <definedName name="FKERES_BLOKK_9_7">#REF!</definedName>
    <definedName name="FKERES_BLOKK_9_8" localSheetId="34">#REF!</definedName>
    <definedName name="FKERES_BLOKK_9_8">#REF!</definedName>
    <definedName name="FKERES_II" localSheetId="5">#REF!</definedName>
    <definedName name="FKERES_II" localSheetId="34">#REF!</definedName>
    <definedName name="FKERES_II">#REF!</definedName>
    <definedName name="FKERES_II_1" localSheetId="34">#REF!</definedName>
    <definedName name="FKERES_II_1">#REF!</definedName>
    <definedName name="FKERES_II_10" localSheetId="34">#REF!</definedName>
    <definedName name="FKERES_II_10">#REF!</definedName>
    <definedName name="FKERES_II_10_12" localSheetId="34">#REF!</definedName>
    <definedName name="FKERES_II_10_12">#REF!</definedName>
    <definedName name="FKERES_II_10_7" localSheetId="34">#REF!</definedName>
    <definedName name="FKERES_II_10_7">#REF!</definedName>
    <definedName name="FKERES_II_10_8" localSheetId="34">#REF!</definedName>
    <definedName name="FKERES_II_10_8">#REF!</definedName>
    <definedName name="FKERES_II_11" localSheetId="34">#REF!</definedName>
    <definedName name="FKERES_II_11">#REF!</definedName>
    <definedName name="FKERES_II_11_1" localSheetId="34">#REF!</definedName>
    <definedName name="FKERES_II_11_1">#REF!</definedName>
    <definedName name="FKERES_II_11_1_1" localSheetId="34">#REF!</definedName>
    <definedName name="FKERES_II_11_1_1">#REF!</definedName>
    <definedName name="FKERES_II_11_1_1_1">NA()</definedName>
    <definedName name="FKERES_II_11_1_1_12" localSheetId="34">#REF!</definedName>
    <definedName name="FKERES_II_11_1_1_12" localSheetId="8">#REF!</definedName>
    <definedName name="FKERES_II_11_1_1_12">#REF!</definedName>
    <definedName name="FKERES_II_11_1_1_2" localSheetId="34">#REF!</definedName>
    <definedName name="FKERES_II_11_1_1_2">#REF!</definedName>
    <definedName name="FKERES_II_11_1_1_7" localSheetId="34">#REF!</definedName>
    <definedName name="FKERES_II_11_1_1_7">#REF!</definedName>
    <definedName name="FKERES_II_11_1_1_8" localSheetId="34">#REF!</definedName>
    <definedName name="FKERES_II_11_1_1_8">#REF!</definedName>
    <definedName name="FKERES_II_11_1_12" localSheetId="34">#REF!</definedName>
    <definedName name="FKERES_II_11_1_12">#REF!</definedName>
    <definedName name="FKERES_II_11_1_2" localSheetId="34">#REF!</definedName>
    <definedName name="FKERES_II_11_1_2">#REF!</definedName>
    <definedName name="FKERES_II_11_1_7" localSheetId="34">#REF!</definedName>
    <definedName name="FKERES_II_11_1_7">#REF!</definedName>
    <definedName name="FKERES_II_11_1_8" localSheetId="34">#REF!</definedName>
    <definedName name="FKERES_II_11_1_8">#REF!</definedName>
    <definedName name="FKERES_II_11_12" localSheetId="34">#REF!</definedName>
    <definedName name="FKERES_II_11_12">#REF!</definedName>
    <definedName name="FKERES_II_11_3" localSheetId="34">#REF!</definedName>
    <definedName name="FKERES_II_11_3">#REF!</definedName>
    <definedName name="FKERES_II_11_3_12" localSheetId="34">#REF!</definedName>
    <definedName name="FKERES_II_11_3_12">#REF!</definedName>
    <definedName name="FKERES_II_11_3_2" localSheetId="34">#REF!</definedName>
    <definedName name="FKERES_II_11_3_2">#REF!</definedName>
    <definedName name="FKERES_II_11_3_7" localSheetId="34">#REF!</definedName>
    <definedName name="FKERES_II_11_3_7">#REF!</definedName>
    <definedName name="FKERES_II_11_3_8" localSheetId="34">#REF!</definedName>
    <definedName name="FKERES_II_11_3_8">#REF!</definedName>
    <definedName name="FKERES_II_11_5" localSheetId="34">#REF!</definedName>
    <definedName name="FKERES_II_11_5">#REF!</definedName>
    <definedName name="FKERES_II_11_5_12" localSheetId="34">#REF!</definedName>
    <definedName name="FKERES_II_11_5_12">#REF!</definedName>
    <definedName name="FKERES_II_11_5_2" localSheetId="34">#REF!</definedName>
    <definedName name="FKERES_II_11_5_2">#REF!</definedName>
    <definedName name="FKERES_II_11_5_7" localSheetId="34">#REF!</definedName>
    <definedName name="FKERES_II_11_5_7">#REF!</definedName>
    <definedName name="FKERES_II_11_5_8" localSheetId="34">#REF!</definedName>
    <definedName name="FKERES_II_11_5_8">#REF!</definedName>
    <definedName name="FKERES_II_11_7" localSheetId="34">#REF!</definedName>
    <definedName name="FKERES_II_11_7">#REF!</definedName>
    <definedName name="FKERES_II_11_8" localSheetId="34">#REF!</definedName>
    <definedName name="FKERES_II_11_8">#REF!</definedName>
    <definedName name="FKERES_II_12" localSheetId="5">#REF!</definedName>
    <definedName name="FKERES_II_12" localSheetId="34">#REF!</definedName>
    <definedName name="FKERES_II_12">#REF!</definedName>
    <definedName name="FKERES_II_12_1">NA()</definedName>
    <definedName name="FKERES_II_12_10" localSheetId="34">#REF!</definedName>
    <definedName name="FKERES_II_12_10" localSheetId="8">#REF!</definedName>
    <definedName name="FKERES_II_12_10">#REF!</definedName>
    <definedName name="FKERES_II_12_10_12" localSheetId="34">#REF!</definedName>
    <definedName name="FKERES_II_12_10_12">#REF!</definedName>
    <definedName name="FKERES_II_12_10_7" localSheetId="34">#REF!</definedName>
    <definedName name="FKERES_II_12_10_7">#REF!</definedName>
    <definedName name="FKERES_II_12_10_8" localSheetId="34">#REF!</definedName>
    <definedName name="FKERES_II_12_10_8">#REF!</definedName>
    <definedName name="FKERES_II_12_12" localSheetId="34">#REF!</definedName>
    <definedName name="FKERES_II_12_12">#REF!</definedName>
    <definedName name="FKERES_II_12_7" localSheetId="34">#REF!</definedName>
    <definedName name="FKERES_II_12_7">#REF!</definedName>
    <definedName name="FKERES_II_12_8" localSheetId="34">#REF!</definedName>
    <definedName name="FKERES_II_12_8">#REF!</definedName>
    <definedName name="FKERES_II_15" localSheetId="5">#REF!</definedName>
    <definedName name="FKERES_II_15" localSheetId="34">#REF!</definedName>
    <definedName name="FKERES_II_15">#REF!</definedName>
    <definedName name="FKERES_II_15_1" localSheetId="34">#REF!</definedName>
    <definedName name="FKERES_II_15_1">#REF!</definedName>
    <definedName name="FKERES_II_15_10" localSheetId="34">#REF!</definedName>
    <definedName name="FKERES_II_15_10">#REF!</definedName>
    <definedName name="FKERES_II_15_10_12" localSheetId="34">#REF!</definedName>
    <definedName name="FKERES_II_15_10_12">#REF!</definedName>
    <definedName name="FKERES_II_15_10_7" localSheetId="34">#REF!</definedName>
    <definedName name="FKERES_II_15_10_7">#REF!</definedName>
    <definedName name="FKERES_II_15_10_8" localSheetId="34">#REF!</definedName>
    <definedName name="FKERES_II_15_10_8">#REF!</definedName>
    <definedName name="FKERES_II_15_11" localSheetId="34">#REF!</definedName>
    <definedName name="FKERES_II_15_11">#REF!</definedName>
    <definedName name="FKERES_II_15_11_1" localSheetId="34">#REF!</definedName>
    <definedName name="FKERES_II_15_11_1">#REF!</definedName>
    <definedName name="FKERES_II_15_11_1_1" localSheetId="34">#REF!</definedName>
    <definedName name="FKERES_II_15_11_1_1">#REF!</definedName>
    <definedName name="FKERES_II_15_11_1_1_1">NA()</definedName>
    <definedName name="FKERES_II_15_11_1_1_12" localSheetId="34">#REF!</definedName>
    <definedName name="FKERES_II_15_11_1_1_12" localSheetId="8">#REF!</definedName>
    <definedName name="FKERES_II_15_11_1_1_12">#REF!</definedName>
    <definedName name="FKERES_II_15_11_1_1_2" localSheetId="34">#REF!</definedName>
    <definedName name="FKERES_II_15_11_1_1_2">#REF!</definedName>
    <definedName name="FKERES_II_15_11_1_1_7" localSheetId="34">#REF!</definedName>
    <definedName name="FKERES_II_15_11_1_1_7">#REF!</definedName>
    <definedName name="FKERES_II_15_11_1_1_8" localSheetId="34">#REF!</definedName>
    <definedName name="FKERES_II_15_11_1_1_8">#REF!</definedName>
    <definedName name="FKERES_II_15_11_1_12" localSheetId="34">#REF!</definedName>
    <definedName name="FKERES_II_15_11_1_12">#REF!</definedName>
    <definedName name="FKERES_II_15_11_1_2" localSheetId="34">#REF!</definedName>
    <definedName name="FKERES_II_15_11_1_2">#REF!</definedName>
    <definedName name="FKERES_II_15_11_1_7" localSheetId="34">#REF!</definedName>
    <definedName name="FKERES_II_15_11_1_7">#REF!</definedName>
    <definedName name="FKERES_II_15_11_1_8" localSheetId="34">#REF!</definedName>
    <definedName name="FKERES_II_15_11_1_8">#REF!</definedName>
    <definedName name="FKERES_II_15_11_12" localSheetId="34">#REF!</definedName>
    <definedName name="FKERES_II_15_11_12">#REF!</definedName>
    <definedName name="FKERES_II_15_11_3" localSheetId="34">#REF!</definedName>
    <definedName name="FKERES_II_15_11_3">#REF!</definedName>
    <definedName name="FKERES_II_15_11_3_12" localSheetId="34">#REF!</definedName>
    <definedName name="FKERES_II_15_11_3_12">#REF!</definedName>
    <definedName name="FKERES_II_15_11_3_2" localSheetId="34">#REF!</definedName>
    <definedName name="FKERES_II_15_11_3_2">#REF!</definedName>
    <definedName name="FKERES_II_15_11_3_7" localSheetId="34">#REF!</definedName>
    <definedName name="FKERES_II_15_11_3_7">#REF!</definedName>
    <definedName name="FKERES_II_15_11_3_8" localSheetId="34">#REF!</definedName>
    <definedName name="FKERES_II_15_11_3_8">#REF!</definedName>
    <definedName name="FKERES_II_15_11_5" localSheetId="34">#REF!</definedName>
    <definedName name="FKERES_II_15_11_5">#REF!</definedName>
    <definedName name="FKERES_II_15_11_5_12" localSheetId="34">#REF!</definedName>
    <definedName name="FKERES_II_15_11_5_12">#REF!</definedName>
    <definedName name="FKERES_II_15_11_5_2" localSheetId="34">#REF!</definedName>
    <definedName name="FKERES_II_15_11_5_2">#REF!</definedName>
    <definedName name="FKERES_II_15_11_5_7" localSheetId="34">#REF!</definedName>
    <definedName name="FKERES_II_15_11_5_7">#REF!</definedName>
    <definedName name="FKERES_II_15_11_5_8" localSheetId="34">#REF!</definedName>
    <definedName name="FKERES_II_15_11_5_8">#REF!</definedName>
    <definedName name="FKERES_II_15_11_7" localSheetId="34">#REF!</definedName>
    <definedName name="FKERES_II_15_11_7">#REF!</definedName>
    <definedName name="FKERES_II_15_11_8" localSheetId="34">#REF!</definedName>
    <definedName name="FKERES_II_15_11_8">#REF!</definedName>
    <definedName name="FKERES_II_15_12" localSheetId="5">#REF!</definedName>
    <definedName name="FKERES_II_15_12" localSheetId="34">#REF!</definedName>
    <definedName name="FKERES_II_15_12">#REF!</definedName>
    <definedName name="FKERES_II_15_12_1">NA()</definedName>
    <definedName name="FKERES_II_15_12_10" localSheetId="34">#REF!</definedName>
    <definedName name="FKERES_II_15_12_10" localSheetId="8">#REF!</definedName>
    <definedName name="FKERES_II_15_12_10">#REF!</definedName>
    <definedName name="FKERES_II_15_12_10_12" localSheetId="34">#REF!</definedName>
    <definedName name="FKERES_II_15_12_10_12">#REF!</definedName>
    <definedName name="FKERES_II_15_12_10_7" localSheetId="34">#REF!</definedName>
    <definedName name="FKERES_II_15_12_10_7">#REF!</definedName>
    <definedName name="FKERES_II_15_12_10_8" localSheetId="34">#REF!</definedName>
    <definedName name="FKERES_II_15_12_10_8">#REF!</definedName>
    <definedName name="FKERES_II_15_12_12" localSheetId="34">#REF!</definedName>
    <definedName name="FKERES_II_15_12_12">#REF!</definedName>
    <definedName name="FKERES_II_15_12_7" localSheetId="34">#REF!</definedName>
    <definedName name="FKERES_II_15_12_7">#REF!</definedName>
    <definedName name="FKERES_II_15_12_8" localSheetId="34">#REF!</definedName>
    <definedName name="FKERES_II_15_12_8">#REF!</definedName>
    <definedName name="FKERES_II_15_2" localSheetId="34">#REF!</definedName>
    <definedName name="FKERES_II_15_2">#REF!</definedName>
    <definedName name="FKERES_II_15_3" localSheetId="34">#REF!</definedName>
    <definedName name="FKERES_II_15_3">#REF!</definedName>
    <definedName name="FKERES_II_15_4" localSheetId="34">#REF!</definedName>
    <definedName name="FKERES_II_15_4">#REF!</definedName>
    <definedName name="FKERES_II_15_7" localSheetId="34">#REF!</definedName>
    <definedName name="FKERES_II_15_7">#REF!</definedName>
    <definedName name="FKERES_II_15_8" localSheetId="34">#REF!</definedName>
    <definedName name="FKERES_II_15_8">#REF!</definedName>
    <definedName name="FKERES_II_15_9" localSheetId="34">#REF!</definedName>
    <definedName name="FKERES_II_15_9">#REF!</definedName>
    <definedName name="FKERES_II_15_9_1">NA()</definedName>
    <definedName name="FKERES_II_15_9_12" localSheetId="34">#REF!</definedName>
    <definedName name="FKERES_II_15_9_12" localSheetId="8">#REF!</definedName>
    <definedName name="FKERES_II_15_9_12">#REF!</definedName>
    <definedName name="FKERES_II_15_9_7" localSheetId="34">#REF!</definedName>
    <definedName name="FKERES_II_15_9_7">#REF!</definedName>
    <definedName name="FKERES_II_15_9_8" localSheetId="34">#REF!</definedName>
    <definedName name="FKERES_II_15_9_8">#REF!</definedName>
    <definedName name="FKERES_II_2" localSheetId="5">#REF!</definedName>
    <definedName name="FKERES_II_2" localSheetId="34">#REF!</definedName>
    <definedName name="FKERES_II_2">#REF!</definedName>
    <definedName name="FKERES_II_2_1" localSheetId="34">#REF!</definedName>
    <definedName name="FKERES_II_2_1">#REF!</definedName>
    <definedName name="FKERES_II_2_1_1" localSheetId="34">#REF!</definedName>
    <definedName name="FKERES_II_2_1_1">#REF!</definedName>
    <definedName name="FKERES_II_2_10" localSheetId="34">#REF!</definedName>
    <definedName name="FKERES_II_2_10">#REF!</definedName>
    <definedName name="FKERES_II_2_10_12" localSheetId="34">#REF!</definedName>
    <definedName name="FKERES_II_2_10_12">#REF!</definedName>
    <definedName name="FKERES_II_2_10_7" localSheetId="34">#REF!</definedName>
    <definedName name="FKERES_II_2_10_7">#REF!</definedName>
    <definedName name="FKERES_II_2_10_8" localSheetId="34">#REF!</definedName>
    <definedName name="FKERES_II_2_10_8">#REF!</definedName>
    <definedName name="FKERES_II_2_11" localSheetId="34">#REF!</definedName>
    <definedName name="FKERES_II_2_11">#REF!</definedName>
    <definedName name="FKERES_II_2_11_1" localSheetId="34">#REF!</definedName>
    <definedName name="FKERES_II_2_11_1">#REF!</definedName>
    <definedName name="FKERES_II_2_11_1_1" localSheetId="34">#REF!</definedName>
    <definedName name="FKERES_II_2_11_1_1">#REF!</definedName>
    <definedName name="FKERES_II_2_11_1_1_1">NA()</definedName>
    <definedName name="FKERES_II_2_11_1_1_12" localSheetId="34">#REF!</definedName>
    <definedName name="FKERES_II_2_11_1_1_12" localSheetId="8">#REF!</definedName>
    <definedName name="FKERES_II_2_11_1_1_12">#REF!</definedName>
    <definedName name="FKERES_II_2_11_1_1_2" localSheetId="34">#REF!</definedName>
    <definedName name="FKERES_II_2_11_1_1_2">#REF!</definedName>
    <definedName name="FKERES_II_2_11_1_1_7" localSheetId="34">#REF!</definedName>
    <definedName name="FKERES_II_2_11_1_1_7">#REF!</definedName>
    <definedName name="FKERES_II_2_11_1_1_8" localSheetId="34">#REF!</definedName>
    <definedName name="FKERES_II_2_11_1_1_8">#REF!</definedName>
    <definedName name="FKERES_II_2_11_1_12" localSheetId="34">#REF!</definedName>
    <definedName name="FKERES_II_2_11_1_12">#REF!</definedName>
    <definedName name="FKERES_II_2_11_1_2" localSheetId="34">#REF!</definedName>
    <definedName name="FKERES_II_2_11_1_2">#REF!</definedName>
    <definedName name="FKERES_II_2_11_1_7" localSheetId="34">#REF!</definedName>
    <definedName name="FKERES_II_2_11_1_7">#REF!</definedName>
    <definedName name="FKERES_II_2_11_1_8" localSheetId="34">#REF!</definedName>
    <definedName name="FKERES_II_2_11_1_8">#REF!</definedName>
    <definedName name="FKERES_II_2_11_12" localSheetId="34">#REF!</definedName>
    <definedName name="FKERES_II_2_11_12">#REF!</definedName>
    <definedName name="FKERES_II_2_11_3" localSheetId="34">#REF!</definedName>
    <definedName name="FKERES_II_2_11_3">#REF!</definedName>
    <definedName name="FKERES_II_2_11_3_12" localSheetId="34">#REF!</definedName>
    <definedName name="FKERES_II_2_11_3_12">#REF!</definedName>
    <definedName name="FKERES_II_2_11_3_2" localSheetId="34">#REF!</definedName>
    <definedName name="FKERES_II_2_11_3_2">#REF!</definedName>
    <definedName name="FKERES_II_2_11_3_7" localSheetId="34">#REF!</definedName>
    <definedName name="FKERES_II_2_11_3_7">#REF!</definedName>
    <definedName name="FKERES_II_2_11_3_8" localSheetId="34">#REF!</definedName>
    <definedName name="FKERES_II_2_11_3_8">#REF!</definedName>
    <definedName name="FKERES_II_2_11_5" localSheetId="34">#REF!</definedName>
    <definedName name="FKERES_II_2_11_5">#REF!</definedName>
    <definedName name="FKERES_II_2_11_5_12" localSheetId="34">#REF!</definedName>
    <definedName name="FKERES_II_2_11_5_12">#REF!</definedName>
    <definedName name="FKERES_II_2_11_5_2" localSheetId="34">#REF!</definedName>
    <definedName name="FKERES_II_2_11_5_2">#REF!</definedName>
    <definedName name="FKERES_II_2_11_5_7" localSheetId="34">#REF!</definedName>
    <definedName name="FKERES_II_2_11_5_7">#REF!</definedName>
    <definedName name="FKERES_II_2_11_5_8" localSheetId="34">#REF!</definedName>
    <definedName name="FKERES_II_2_11_5_8">#REF!</definedName>
    <definedName name="FKERES_II_2_11_7" localSheetId="34">#REF!</definedName>
    <definedName name="FKERES_II_2_11_7">#REF!</definedName>
    <definedName name="FKERES_II_2_11_8" localSheetId="34">#REF!</definedName>
    <definedName name="FKERES_II_2_11_8">#REF!</definedName>
    <definedName name="FKERES_II_2_12" localSheetId="34">#REF!</definedName>
    <definedName name="FKERES_II_2_12">#REF!</definedName>
    <definedName name="FKERES_II_2_2" localSheetId="34">#REF!</definedName>
    <definedName name="FKERES_II_2_2">#REF!</definedName>
    <definedName name="FKERES_II_2_3" localSheetId="34">#REF!</definedName>
    <definedName name="FKERES_II_2_3">#REF!</definedName>
    <definedName name="FKERES_II_2_4" localSheetId="34">#REF!</definedName>
    <definedName name="FKERES_II_2_4">#REF!</definedName>
    <definedName name="FKERES_II_2_7" localSheetId="34">#REF!</definedName>
    <definedName name="FKERES_II_2_7">#REF!</definedName>
    <definedName name="FKERES_II_2_8" localSheetId="34">#REF!</definedName>
    <definedName name="FKERES_II_2_8">#REF!</definedName>
    <definedName name="FKERES_II_20" localSheetId="5">#REF!</definedName>
    <definedName name="FKERES_II_20" localSheetId="34">#REF!</definedName>
    <definedName name="FKERES_II_20">#REF!</definedName>
    <definedName name="FKERES_II_20_1" localSheetId="34">#REF!</definedName>
    <definedName name="FKERES_II_20_1">#REF!</definedName>
    <definedName name="FKERES_II_20_10" localSheetId="34">#REF!</definedName>
    <definedName name="FKERES_II_20_10">#REF!</definedName>
    <definedName name="FKERES_II_20_10_12" localSheetId="34">#REF!</definedName>
    <definedName name="FKERES_II_20_10_12">#REF!</definedName>
    <definedName name="FKERES_II_20_10_7" localSheetId="34">#REF!</definedName>
    <definedName name="FKERES_II_20_10_7">#REF!</definedName>
    <definedName name="FKERES_II_20_10_8" localSheetId="34">#REF!</definedName>
    <definedName name="FKERES_II_20_10_8">#REF!</definedName>
    <definedName name="FKERES_II_20_11" localSheetId="34">#REF!</definedName>
    <definedName name="FKERES_II_20_11">#REF!</definedName>
    <definedName name="FKERES_II_20_11_1" localSheetId="34">#REF!</definedName>
    <definedName name="FKERES_II_20_11_1">#REF!</definedName>
    <definedName name="FKERES_II_20_11_1_1" localSheetId="34">#REF!</definedName>
    <definedName name="FKERES_II_20_11_1_1">#REF!</definedName>
    <definedName name="FKERES_II_20_11_1_1_1">NA()</definedName>
    <definedName name="FKERES_II_20_11_1_1_12" localSheetId="34">#REF!</definedName>
    <definedName name="FKERES_II_20_11_1_1_12" localSheetId="8">#REF!</definedName>
    <definedName name="FKERES_II_20_11_1_1_12">#REF!</definedName>
    <definedName name="FKERES_II_20_11_1_1_2" localSheetId="34">#REF!</definedName>
    <definedName name="FKERES_II_20_11_1_1_2">#REF!</definedName>
    <definedName name="FKERES_II_20_11_1_1_7" localSheetId="34">#REF!</definedName>
    <definedName name="FKERES_II_20_11_1_1_7">#REF!</definedName>
    <definedName name="FKERES_II_20_11_1_1_8" localSheetId="34">#REF!</definedName>
    <definedName name="FKERES_II_20_11_1_1_8">#REF!</definedName>
    <definedName name="FKERES_II_20_11_1_12" localSheetId="34">#REF!</definedName>
    <definedName name="FKERES_II_20_11_1_12">#REF!</definedName>
    <definedName name="FKERES_II_20_11_1_2" localSheetId="34">#REF!</definedName>
    <definedName name="FKERES_II_20_11_1_2">#REF!</definedName>
    <definedName name="FKERES_II_20_11_1_7" localSheetId="34">#REF!</definedName>
    <definedName name="FKERES_II_20_11_1_7">#REF!</definedName>
    <definedName name="FKERES_II_20_11_1_8" localSheetId="34">#REF!</definedName>
    <definedName name="FKERES_II_20_11_1_8">#REF!</definedName>
    <definedName name="FKERES_II_20_11_12" localSheetId="34">#REF!</definedName>
    <definedName name="FKERES_II_20_11_12">#REF!</definedName>
    <definedName name="FKERES_II_20_11_3" localSheetId="34">#REF!</definedName>
    <definedName name="FKERES_II_20_11_3">#REF!</definedName>
    <definedName name="FKERES_II_20_11_3_12" localSheetId="34">#REF!</definedName>
    <definedName name="FKERES_II_20_11_3_12">#REF!</definedName>
    <definedName name="FKERES_II_20_11_3_2" localSheetId="34">#REF!</definedName>
    <definedName name="FKERES_II_20_11_3_2">#REF!</definedName>
    <definedName name="FKERES_II_20_11_3_7" localSheetId="34">#REF!</definedName>
    <definedName name="FKERES_II_20_11_3_7">#REF!</definedName>
    <definedName name="FKERES_II_20_11_3_8" localSheetId="34">#REF!</definedName>
    <definedName name="FKERES_II_20_11_3_8">#REF!</definedName>
    <definedName name="FKERES_II_20_11_5" localSheetId="34">#REF!</definedName>
    <definedName name="FKERES_II_20_11_5">#REF!</definedName>
    <definedName name="FKERES_II_20_11_5_12" localSheetId="34">#REF!</definedName>
    <definedName name="FKERES_II_20_11_5_12">#REF!</definedName>
    <definedName name="FKERES_II_20_11_5_2" localSheetId="34">#REF!</definedName>
    <definedName name="FKERES_II_20_11_5_2">#REF!</definedName>
    <definedName name="FKERES_II_20_11_5_7" localSheetId="34">#REF!</definedName>
    <definedName name="FKERES_II_20_11_5_7">#REF!</definedName>
    <definedName name="FKERES_II_20_11_5_8" localSheetId="34">#REF!</definedName>
    <definedName name="FKERES_II_20_11_5_8">#REF!</definedName>
    <definedName name="FKERES_II_20_11_7" localSheetId="34">#REF!</definedName>
    <definedName name="FKERES_II_20_11_7">#REF!</definedName>
    <definedName name="FKERES_II_20_11_8" localSheetId="34">#REF!</definedName>
    <definedName name="FKERES_II_20_11_8">#REF!</definedName>
    <definedName name="FKERES_II_20_12" localSheetId="5">#REF!</definedName>
    <definedName name="FKERES_II_20_12" localSheetId="34">#REF!</definedName>
    <definedName name="FKERES_II_20_12">#REF!</definedName>
    <definedName name="FKERES_II_20_12_1">NA()</definedName>
    <definedName name="FKERES_II_20_12_10" localSheetId="34">#REF!</definedName>
    <definedName name="FKERES_II_20_12_10" localSheetId="8">#REF!</definedName>
    <definedName name="FKERES_II_20_12_10">#REF!</definedName>
    <definedName name="FKERES_II_20_12_10_12" localSheetId="34">#REF!</definedName>
    <definedName name="FKERES_II_20_12_10_12">#REF!</definedName>
    <definedName name="FKERES_II_20_12_10_7" localSheetId="34">#REF!</definedName>
    <definedName name="FKERES_II_20_12_10_7">#REF!</definedName>
    <definedName name="FKERES_II_20_12_10_8" localSheetId="34">#REF!</definedName>
    <definedName name="FKERES_II_20_12_10_8">#REF!</definedName>
    <definedName name="FKERES_II_20_12_12" localSheetId="34">#REF!</definedName>
    <definedName name="FKERES_II_20_12_12">#REF!</definedName>
    <definedName name="FKERES_II_20_12_7" localSheetId="34">#REF!</definedName>
    <definedName name="FKERES_II_20_12_7">#REF!</definedName>
    <definedName name="FKERES_II_20_12_8" localSheetId="34">#REF!</definedName>
    <definedName name="FKERES_II_20_12_8">#REF!</definedName>
    <definedName name="FKERES_II_20_2" localSheetId="34">#REF!</definedName>
    <definedName name="FKERES_II_20_2">#REF!</definedName>
    <definedName name="FKERES_II_20_3" localSheetId="34">#REF!</definedName>
    <definedName name="FKERES_II_20_3">#REF!</definedName>
    <definedName name="FKERES_II_20_4" localSheetId="34">#REF!</definedName>
    <definedName name="FKERES_II_20_4">#REF!</definedName>
    <definedName name="FKERES_II_20_7" localSheetId="34">#REF!</definedName>
    <definedName name="FKERES_II_20_7">#REF!</definedName>
    <definedName name="FKERES_II_20_8" localSheetId="34">#REF!</definedName>
    <definedName name="FKERES_II_20_8">#REF!</definedName>
    <definedName name="FKERES_II_20_9" localSheetId="34">#REF!</definedName>
    <definedName name="FKERES_II_20_9">#REF!</definedName>
    <definedName name="FKERES_II_20_9_1">NA()</definedName>
    <definedName name="FKERES_II_20_9_12" localSheetId="34">#REF!</definedName>
    <definedName name="FKERES_II_20_9_12" localSheetId="8">#REF!</definedName>
    <definedName name="FKERES_II_20_9_12">#REF!</definedName>
    <definedName name="FKERES_II_20_9_7" localSheetId="34">#REF!</definedName>
    <definedName name="FKERES_II_20_9_7">#REF!</definedName>
    <definedName name="FKERES_II_20_9_8" localSheetId="34">#REF!</definedName>
    <definedName name="FKERES_II_20_9_8">#REF!</definedName>
    <definedName name="FKERES_II_24" localSheetId="5">#REF!</definedName>
    <definedName name="FKERES_II_24" localSheetId="34">#REF!</definedName>
    <definedName name="FKERES_II_24">#REF!</definedName>
    <definedName name="FKERES_II_24_1" localSheetId="34">#REF!</definedName>
    <definedName name="FKERES_II_24_1">#REF!</definedName>
    <definedName name="FKERES_II_24_10" localSheetId="34">#REF!</definedName>
    <definedName name="FKERES_II_24_10">#REF!</definedName>
    <definedName name="FKERES_II_24_10_12" localSheetId="34">#REF!</definedName>
    <definedName name="FKERES_II_24_10_12">#REF!</definedName>
    <definedName name="FKERES_II_24_10_7" localSheetId="34">#REF!</definedName>
    <definedName name="FKERES_II_24_10_7">#REF!</definedName>
    <definedName name="FKERES_II_24_10_8" localSheetId="34">#REF!</definedName>
    <definedName name="FKERES_II_24_10_8">#REF!</definedName>
    <definedName name="FKERES_II_24_11" localSheetId="34">#REF!</definedName>
    <definedName name="FKERES_II_24_11">#REF!</definedName>
    <definedName name="FKERES_II_24_11_1" localSheetId="34">#REF!</definedName>
    <definedName name="FKERES_II_24_11_1">#REF!</definedName>
    <definedName name="FKERES_II_24_11_1_1" localSheetId="34">#REF!</definedName>
    <definedName name="FKERES_II_24_11_1_1">#REF!</definedName>
    <definedName name="FKERES_II_24_11_1_1_1">NA()</definedName>
    <definedName name="FKERES_II_24_11_1_1_12" localSheetId="34">#REF!</definedName>
    <definedName name="FKERES_II_24_11_1_1_12" localSheetId="8">#REF!</definedName>
    <definedName name="FKERES_II_24_11_1_1_12">#REF!</definedName>
    <definedName name="FKERES_II_24_11_1_1_2" localSheetId="34">#REF!</definedName>
    <definedName name="FKERES_II_24_11_1_1_2">#REF!</definedName>
    <definedName name="FKERES_II_24_11_1_1_7" localSheetId="34">#REF!</definedName>
    <definedName name="FKERES_II_24_11_1_1_7">#REF!</definedName>
    <definedName name="FKERES_II_24_11_1_1_8" localSheetId="34">#REF!</definedName>
    <definedName name="FKERES_II_24_11_1_1_8">#REF!</definedName>
    <definedName name="FKERES_II_24_11_1_12" localSheetId="34">#REF!</definedName>
    <definedName name="FKERES_II_24_11_1_12">#REF!</definedName>
    <definedName name="FKERES_II_24_11_1_2" localSheetId="34">#REF!</definedName>
    <definedName name="FKERES_II_24_11_1_2">#REF!</definedName>
    <definedName name="FKERES_II_24_11_1_7" localSheetId="34">#REF!</definedName>
    <definedName name="FKERES_II_24_11_1_7">#REF!</definedName>
    <definedName name="FKERES_II_24_11_1_8" localSheetId="34">#REF!</definedName>
    <definedName name="FKERES_II_24_11_1_8">#REF!</definedName>
    <definedName name="FKERES_II_24_11_12" localSheetId="34">#REF!</definedName>
    <definedName name="FKERES_II_24_11_12">#REF!</definedName>
    <definedName name="FKERES_II_24_11_3" localSheetId="34">#REF!</definedName>
    <definedName name="FKERES_II_24_11_3">#REF!</definedName>
    <definedName name="FKERES_II_24_11_3_12" localSheetId="34">#REF!</definedName>
    <definedName name="FKERES_II_24_11_3_12">#REF!</definedName>
    <definedName name="FKERES_II_24_11_3_2" localSheetId="34">#REF!</definedName>
    <definedName name="FKERES_II_24_11_3_2">#REF!</definedName>
    <definedName name="FKERES_II_24_11_3_7" localSheetId="34">#REF!</definedName>
    <definedName name="FKERES_II_24_11_3_7">#REF!</definedName>
    <definedName name="FKERES_II_24_11_3_8" localSheetId="34">#REF!</definedName>
    <definedName name="FKERES_II_24_11_3_8">#REF!</definedName>
    <definedName name="FKERES_II_24_11_5" localSheetId="34">#REF!</definedName>
    <definedName name="FKERES_II_24_11_5">#REF!</definedName>
    <definedName name="FKERES_II_24_11_5_12" localSheetId="34">#REF!</definedName>
    <definedName name="FKERES_II_24_11_5_12">#REF!</definedName>
    <definedName name="FKERES_II_24_11_5_2" localSheetId="34">#REF!</definedName>
    <definedName name="FKERES_II_24_11_5_2">#REF!</definedName>
    <definedName name="FKERES_II_24_11_5_7" localSheetId="34">#REF!</definedName>
    <definedName name="FKERES_II_24_11_5_7">#REF!</definedName>
    <definedName name="FKERES_II_24_11_5_8" localSheetId="34">#REF!</definedName>
    <definedName name="FKERES_II_24_11_5_8">#REF!</definedName>
    <definedName name="FKERES_II_24_11_7" localSheetId="34">#REF!</definedName>
    <definedName name="FKERES_II_24_11_7">#REF!</definedName>
    <definedName name="FKERES_II_24_11_8" localSheetId="34">#REF!</definedName>
    <definedName name="FKERES_II_24_11_8">#REF!</definedName>
    <definedName name="FKERES_II_24_12" localSheetId="5">#REF!</definedName>
    <definedName name="FKERES_II_24_12" localSheetId="34">#REF!</definedName>
    <definedName name="FKERES_II_24_12">#REF!</definedName>
    <definedName name="FKERES_II_24_12_1">NA()</definedName>
    <definedName name="FKERES_II_24_12_10" localSheetId="34">#REF!</definedName>
    <definedName name="FKERES_II_24_12_10" localSheetId="8">#REF!</definedName>
    <definedName name="FKERES_II_24_12_10">#REF!</definedName>
    <definedName name="FKERES_II_24_12_10_12" localSheetId="34">#REF!</definedName>
    <definedName name="FKERES_II_24_12_10_12">#REF!</definedName>
    <definedName name="FKERES_II_24_12_10_7" localSheetId="34">#REF!</definedName>
    <definedName name="FKERES_II_24_12_10_7">#REF!</definedName>
    <definedName name="FKERES_II_24_12_10_8" localSheetId="34">#REF!</definedName>
    <definedName name="FKERES_II_24_12_10_8">#REF!</definedName>
    <definedName name="FKERES_II_24_12_12" localSheetId="34">#REF!</definedName>
    <definedName name="FKERES_II_24_12_12">#REF!</definedName>
    <definedName name="FKERES_II_24_12_7" localSheetId="34">#REF!</definedName>
    <definedName name="FKERES_II_24_12_7">#REF!</definedName>
    <definedName name="FKERES_II_24_12_8" localSheetId="34">#REF!</definedName>
    <definedName name="FKERES_II_24_12_8">#REF!</definedName>
    <definedName name="FKERES_II_24_2" localSheetId="34">#REF!</definedName>
    <definedName name="FKERES_II_24_2">#REF!</definedName>
    <definedName name="FKERES_II_24_3" localSheetId="34">#REF!</definedName>
    <definedName name="FKERES_II_24_3">#REF!</definedName>
    <definedName name="FKERES_II_24_4" localSheetId="34">#REF!</definedName>
    <definedName name="FKERES_II_24_4">#REF!</definedName>
    <definedName name="FKERES_II_24_7" localSheetId="34">#REF!</definedName>
    <definedName name="FKERES_II_24_7">#REF!</definedName>
    <definedName name="FKERES_II_24_8" localSheetId="34">#REF!</definedName>
    <definedName name="FKERES_II_24_8">#REF!</definedName>
    <definedName name="FKERES_II_24_9" localSheetId="34">#REF!</definedName>
    <definedName name="FKERES_II_24_9">#REF!</definedName>
    <definedName name="FKERES_II_24_9_1">NA()</definedName>
    <definedName name="FKERES_II_24_9_12" localSheetId="34">#REF!</definedName>
    <definedName name="FKERES_II_24_9_12" localSheetId="8">#REF!</definedName>
    <definedName name="FKERES_II_24_9_12">#REF!</definedName>
    <definedName name="FKERES_II_24_9_7" localSheetId="34">#REF!</definedName>
    <definedName name="FKERES_II_24_9_7">#REF!</definedName>
    <definedName name="FKERES_II_24_9_8" localSheetId="34">#REF!</definedName>
    <definedName name="FKERES_II_24_9_8">#REF!</definedName>
    <definedName name="FKERES_II_28" localSheetId="5">#REF!</definedName>
    <definedName name="FKERES_II_28" localSheetId="34">#REF!</definedName>
    <definedName name="FKERES_II_28">#REF!</definedName>
    <definedName name="FKERES_II_28_1" localSheetId="34">#REF!</definedName>
    <definedName name="FKERES_II_28_1">#REF!</definedName>
    <definedName name="FKERES_II_28_10" localSheetId="34">#REF!</definedName>
    <definedName name="FKERES_II_28_10">#REF!</definedName>
    <definedName name="FKERES_II_28_10_12" localSheetId="34">#REF!</definedName>
    <definedName name="FKERES_II_28_10_12">#REF!</definedName>
    <definedName name="FKERES_II_28_10_7" localSheetId="34">#REF!</definedName>
    <definedName name="FKERES_II_28_10_7">#REF!</definedName>
    <definedName name="FKERES_II_28_10_8" localSheetId="34">#REF!</definedName>
    <definedName name="FKERES_II_28_10_8">#REF!</definedName>
    <definedName name="FKERES_II_28_11" localSheetId="34">#REF!</definedName>
    <definedName name="FKERES_II_28_11">#REF!</definedName>
    <definedName name="FKERES_II_28_11_1" localSheetId="34">#REF!</definedName>
    <definedName name="FKERES_II_28_11_1">#REF!</definedName>
    <definedName name="FKERES_II_28_11_1_1" localSheetId="34">#REF!</definedName>
    <definedName name="FKERES_II_28_11_1_1">#REF!</definedName>
    <definedName name="FKERES_II_28_11_1_1_1">NA()</definedName>
    <definedName name="FKERES_II_28_11_1_1_12" localSheetId="34">#REF!</definedName>
    <definedName name="FKERES_II_28_11_1_1_12" localSheetId="8">#REF!</definedName>
    <definedName name="FKERES_II_28_11_1_1_12">#REF!</definedName>
    <definedName name="FKERES_II_28_11_1_1_2" localSheetId="34">#REF!</definedName>
    <definedName name="FKERES_II_28_11_1_1_2">#REF!</definedName>
    <definedName name="FKERES_II_28_11_1_1_7" localSheetId="34">#REF!</definedName>
    <definedName name="FKERES_II_28_11_1_1_7">#REF!</definedName>
    <definedName name="FKERES_II_28_11_1_1_8" localSheetId="34">#REF!</definedName>
    <definedName name="FKERES_II_28_11_1_1_8">#REF!</definedName>
    <definedName name="FKERES_II_28_11_1_12" localSheetId="34">#REF!</definedName>
    <definedName name="FKERES_II_28_11_1_12">#REF!</definedName>
    <definedName name="FKERES_II_28_11_1_2" localSheetId="34">#REF!</definedName>
    <definedName name="FKERES_II_28_11_1_2">#REF!</definedName>
    <definedName name="FKERES_II_28_11_1_7" localSheetId="34">#REF!</definedName>
    <definedName name="FKERES_II_28_11_1_7">#REF!</definedName>
    <definedName name="FKERES_II_28_11_1_8" localSheetId="34">#REF!</definedName>
    <definedName name="FKERES_II_28_11_1_8">#REF!</definedName>
    <definedName name="FKERES_II_28_11_12" localSheetId="34">#REF!</definedName>
    <definedName name="FKERES_II_28_11_12">#REF!</definedName>
    <definedName name="FKERES_II_28_11_3" localSheetId="34">#REF!</definedName>
    <definedName name="FKERES_II_28_11_3">#REF!</definedName>
    <definedName name="FKERES_II_28_11_3_12" localSheetId="34">#REF!</definedName>
    <definedName name="FKERES_II_28_11_3_12">#REF!</definedName>
    <definedName name="FKERES_II_28_11_3_2" localSheetId="34">#REF!</definedName>
    <definedName name="FKERES_II_28_11_3_2">#REF!</definedName>
    <definedName name="FKERES_II_28_11_3_7" localSheetId="34">#REF!</definedName>
    <definedName name="FKERES_II_28_11_3_7">#REF!</definedName>
    <definedName name="FKERES_II_28_11_3_8" localSheetId="34">#REF!</definedName>
    <definedName name="FKERES_II_28_11_3_8">#REF!</definedName>
    <definedName name="FKERES_II_28_11_5" localSheetId="34">#REF!</definedName>
    <definedName name="FKERES_II_28_11_5">#REF!</definedName>
    <definedName name="FKERES_II_28_11_5_12" localSheetId="34">#REF!</definedName>
    <definedName name="FKERES_II_28_11_5_12">#REF!</definedName>
    <definedName name="FKERES_II_28_11_5_2" localSheetId="34">#REF!</definedName>
    <definedName name="FKERES_II_28_11_5_2">#REF!</definedName>
    <definedName name="FKERES_II_28_11_5_7" localSheetId="34">#REF!</definedName>
    <definedName name="FKERES_II_28_11_5_7">#REF!</definedName>
    <definedName name="FKERES_II_28_11_5_8" localSheetId="34">#REF!</definedName>
    <definedName name="FKERES_II_28_11_5_8">#REF!</definedName>
    <definedName name="FKERES_II_28_11_7" localSheetId="34">#REF!</definedName>
    <definedName name="FKERES_II_28_11_7">#REF!</definedName>
    <definedName name="FKERES_II_28_11_8" localSheetId="34">#REF!</definedName>
    <definedName name="FKERES_II_28_11_8">#REF!</definedName>
    <definedName name="FKERES_II_28_12" localSheetId="5">#REF!</definedName>
    <definedName name="FKERES_II_28_12" localSheetId="34">#REF!</definedName>
    <definedName name="FKERES_II_28_12">#REF!</definedName>
    <definedName name="FKERES_II_28_12_1">NA()</definedName>
    <definedName name="FKERES_II_28_12_10" localSheetId="34">#REF!</definedName>
    <definedName name="FKERES_II_28_12_10" localSheetId="8">#REF!</definedName>
    <definedName name="FKERES_II_28_12_10">#REF!</definedName>
    <definedName name="FKERES_II_28_12_10_12" localSheetId="34">#REF!</definedName>
    <definedName name="FKERES_II_28_12_10_12">#REF!</definedName>
    <definedName name="FKERES_II_28_12_10_7" localSheetId="34">#REF!</definedName>
    <definedName name="FKERES_II_28_12_10_7">#REF!</definedName>
    <definedName name="FKERES_II_28_12_10_8" localSheetId="34">#REF!</definedName>
    <definedName name="FKERES_II_28_12_10_8">#REF!</definedName>
    <definedName name="FKERES_II_28_12_12" localSheetId="34">#REF!</definedName>
    <definedName name="FKERES_II_28_12_12">#REF!</definedName>
    <definedName name="FKERES_II_28_12_7" localSheetId="34">#REF!</definedName>
    <definedName name="FKERES_II_28_12_7">#REF!</definedName>
    <definedName name="FKERES_II_28_12_8" localSheetId="34">#REF!</definedName>
    <definedName name="FKERES_II_28_12_8">#REF!</definedName>
    <definedName name="FKERES_II_28_2" localSheetId="34">#REF!</definedName>
    <definedName name="FKERES_II_28_2">#REF!</definedName>
    <definedName name="FKERES_II_28_3" localSheetId="34">#REF!</definedName>
    <definedName name="FKERES_II_28_3">#REF!</definedName>
    <definedName name="FKERES_II_28_4" localSheetId="34">#REF!</definedName>
    <definedName name="FKERES_II_28_4">#REF!</definedName>
    <definedName name="FKERES_II_28_7" localSheetId="34">#REF!</definedName>
    <definedName name="FKERES_II_28_7">#REF!</definedName>
    <definedName name="FKERES_II_28_8" localSheetId="34">#REF!</definedName>
    <definedName name="FKERES_II_28_8">#REF!</definedName>
    <definedName name="FKERES_II_28_9" localSheetId="34">#REF!</definedName>
    <definedName name="FKERES_II_28_9">#REF!</definedName>
    <definedName name="FKERES_II_28_9_1">NA()</definedName>
    <definedName name="FKERES_II_28_9_12" localSheetId="34">#REF!</definedName>
    <definedName name="FKERES_II_28_9_12" localSheetId="8">#REF!</definedName>
    <definedName name="FKERES_II_28_9_12">#REF!</definedName>
    <definedName name="FKERES_II_28_9_7" localSheetId="34">#REF!</definedName>
    <definedName name="FKERES_II_28_9_7">#REF!</definedName>
    <definedName name="FKERES_II_28_9_8" localSheetId="34">#REF!</definedName>
    <definedName name="FKERES_II_28_9_8">#REF!</definedName>
    <definedName name="FKERES_II_3" localSheetId="34">#REF!</definedName>
    <definedName name="FKERES_II_3">#REF!</definedName>
    <definedName name="FKERES_II_31" localSheetId="5">#REF!</definedName>
    <definedName name="FKERES_II_31" localSheetId="34">#REF!</definedName>
    <definedName name="FKERES_II_31">#REF!</definedName>
    <definedName name="FKERES_II_31_1" localSheetId="34">#REF!</definedName>
    <definedName name="FKERES_II_31_1">#REF!</definedName>
    <definedName name="FKERES_II_31_10" localSheetId="34">#REF!</definedName>
    <definedName name="FKERES_II_31_10">#REF!</definedName>
    <definedName name="FKERES_II_31_10_12" localSheetId="34">#REF!</definedName>
    <definedName name="FKERES_II_31_10_12">#REF!</definedName>
    <definedName name="FKERES_II_31_10_7" localSheetId="34">#REF!</definedName>
    <definedName name="FKERES_II_31_10_7">#REF!</definedName>
    <definedName name="FKERES_II_31_10_8" localSheetId="34">#REF!</definedName>
    <definedName name="FKERES_II_31_10_8">#REF!</definedName>
    <definedName name="FKERES_II_31_11" localSheetId="34">#REF!</definedName>
    <definedName name="FKERES_II_31_11">#REF!</definedName>
    <definedName name="FKERES_II_31_11_1" localSheetId="34">#REF!</definedName>
    <definedName name="FKERES_II_31_11_1">#REF!</definedName>
    <definedName name="FKERES_II_31_11_1_1" localSheetId="34">#REF!</definedName>
    <definedName name="FKERES_II_31_11_1_1">#REF!</definedName>
    <definedName name="FKERES_II_31_11_1_1_1">NA()</definedName>
    <definedName name="FKERES_II_31_11_1_1_12" localSheetId="34">#REF!</definedName>
    <definedName name="FKERES_II_31_11_1_1_12" localSheetId="8">#REF!</definedName>
    <definedName name="FKERES_II_31_11_1_1_12">#REF!</definedName>
    <definedName name="FKERES_II_31_11_1_1_2" localSheetId="34">#REF!</definedName>
    <definedName name="FKERES_II_31_11_1_1_2">#REF!</definedName>
    <definedName name="FKERES_II_31_11_1_1_7" localSheetId="34">#REF!</definedName>
    <definedName name="FKERES_II_31_11_1_1_7">#REF!</definedName>
    <definedName name="FKERES_II_31_11_1_1_8" localSheetId="34">#REF!</definedName>
    <definedName name="FKERES_II_31_11_1_1_8">#REF!</definedName>
    <definedName name="FKERES_II_31_11_1_12" localSheetId="34">#REF!</definedName>
    <definedName name="FKERES_II_31_11_1_12">#REF!</definedName>
    <definedName name="FKERES_II_31_11_1_2" localSheetId="34">#REF!</definedName>
    <definedName name="FKERES_II_31_11_1_2">#REF!</definedName>
    <definedName name="FKERES_II_31_11_1_7" localSheetId="34">#REF!</definedName>
    <definedName name="FKERES_II_31_11_1_7">#REF!</definedName>
    <definedName name="FKERES_II_31_11_1_8" localSheetId="34">#REF!</definedName>
    <definedName name="FKERES_II_31_11_1_8">#REF!</definedName>
    <definedName name="FKERES_II_31_11_12" localSheetId="34">#REF!</definedName>
    <definedName name="FKERES_II_31_11_12">#REF!</definedName>
    <definedName name="FKERES_II_31_11_3" localSheetId="34">#REF!</definedName>
    <definedName name="FKERES_II_31_11_3">#REF!</definedName>
    <definedName name="FKERES_II_31_11_3_12" localSheetId="34">#REF!</definedName>
    <definedName name="FKERES_II_31_11_3_12">#REF!</definedName>
    <definedName name="FKERES_II_31_11_3_2" localSheetId="34">#REF!</definedName>
    <definedName name="FKERES_II_31_11_3_2">#REF!</definedName>
    <definedName name="FKERES_II_31_11_3_7" localSheetId="34">#REF!</definedName>
    <definedName name="FKERES_II_31_11_3_7">#REF!</definedName>
    <definedName name="FKERES_II_31_11_3_8" localSheetId="34">#REF!</definedName>
    <definedName name="FKERES_II_31_11_3_8">#REF!</definedName>
    <definedName name="FKERES_II_31_11_5" localSheetId="34">#REF!</definedName>
    <definedName name="FKERES_II_31_11_5">#REF!</definedName>
    <definedName name="FKERES_II_31_11_5_12" localSheetId="34">#REF!</definedName>
    <definedName name="FKERES_II_31_11_5_12">#REF!</definedName>
    <definedName name="FKERES_II_31_11_5_2" localSheetId="34">#REF!</definedName>
    <definedName name="FKERES_II_31_11_5_2">#REF!</definedName>
    <definedName name="FKERES_II_31_11_5_7" localSheetId="34">#REF!</definedName>
    <definedName name="FKERES_II_31_11_5_7">#REF!</definedName>
    <definedName name="FKERES_II_31_11_5_8" localSheetId="34">#REF!</definedName>
    <definedName name="FKERES_II_31_11_5_8">#REF!</definedName>
    <definedName name="FKERES_II_31_11_7" localSheetId="34">#REF!</definedName>
    <definedName name="FKERES_II_31_11_7">#REF!</definedName>
    <definedName name="FKERES_II_31_11_8" localSheetId="34">#REF!</definedName>
    <definedName name="FKERES_II_31_11_8">#REF!</definedName>
    <definedName name="FKERES_II_31_12" localSheetId="5">#REF!</definedName>
    <definedName name="FKERES_II_31_12" localSheetId="34">#REF!</definedName>
    <definedName name="FKERES_II_31_12">#REF!</definedName>
    <definedName name="FKERES_II_31_12_1">NA()</definedName>
    <definedName name="FKERES_II_31_12_10" localSheetId="34">#REF!</definedName>
    <definedName name="FKERES_II_31_12_10" localSheetId="8">#REF!</definedName>
    <definedName name="FKERES_II_31_12_10">#REF!</definedName>
    <definedName name="FKERES_II_31_12_10_12" localSheetId="34">#REF!</definedName>
    <definedName name="FKERES_II_31_12_10_12">#REF!</definedName>
    <definedName name="FKERES_II_31_12_10_7" localSheetId="34">#REF!</definedName>
    <definedName name="FKERES_II_31_12_10_7">#REF!</definedName>
    <definedName name="FKERES_II_31_12_10_8" localSheetId="34">#REF!</definedName>
    <definedName name="FKERES_II_31_12_10_8">#REF!</definedName>
    <definedName name="FKERES_II_31_12_12" localSheetId="34">#REF!</definedName>
    <definedName name="FKERES_II_31_12_12">#REF!</definedName>
    <definedName name="FKERES_II_31_12_7" localSheetId="34">#REF!</definedName>
    <definedName name="FKERES_II_31_12_7">#REF!</definedName>
    <definedName name="FKERES_II_31_12_8" localSheetId="34">#REF!</definedName>
    <definedName name="FKERES_II_31_12_8">#REF!</definedName>
    <definedName name="FKERES_II_31_2" localSheetId="34">#REF!</definedName>
    <definedName name="FKERES_II_31_2">#REF!</definedName>
    <definedName name="FKERES_II_31_3" localSheetId="34">#REF!</definedName>
    <definedName name="FKERES_II_31_3">#REF!</definedName>
    <definedName name="FKERES_II_31_4" localSheetId="34">#REF!</definedName>
    <definedName name="FKERES_II_31_4">#REF!</definedName>
    <definedName name="FKERES_II_31_7" localSheetId="34">#REF!</definedName>
    <definedName name="FKERES_II_31_7">#REF!</definedName>
    <definedName name="FKERES_II_31_8" localSheetId="34">#REF!</definedName>
    <definedName name="FKERES_II_31_8">#REF!</definedName>
    <definedName name="FKERES_II_31_9" localSheetId="34">#REF!</definedName>
    <definedName name="FKERES_II_31_9">#REF!</definedName>
    <definedName name="FKERES_II_31_9_1">NA()</definedName>
    <definedName name="FKERES_II_31_9_12" localSheetId="34">#REF!</definedName>
    <definedName name="FKERES_II_31_9_12" localSheetId="8">#REF!</definedName>
    <definedName name="FKERES_II_31_9_12">#REF!</definedName>
    <definedName name="FKERES_II_31_9_7" localSheetId="34">#REF!</definedName>
    <definedName name="FKERES_II_31_9_7">#REF!</definedName>
    <definedName name="FKERES_II_31_9_8" localSheetId="34">#REF!</definedName>
    <definedName name="FKERES_II_31_9_8">#REF!</definedName>
    <definedName name="FKERES_II_4" localSheetId="34">#REF!</definedName>
    <definedName name="FKERES_II_4">#REF!</definedName>
    <definedName name="FKERES_II_7" localSheetId="34">#REF!</definedName>
    <definedName name="FKERES_II_7">#REF!</definedName>
    <definedName name="FKERES_II_8" localSheetId="34">#REF!</definedName>
    <definedName name="FKERES_II_8">#REF!</definedName>
    <definedName name="FKERES_II_9" localSheetId="34">#REF!</definedName>
    <definedName name="FKERES_II_9">#REF!</definedName>
    <definedName name="FKERES_II_9_1">NA()</definedName>
    <definedName name="FKERES_II_9_12" localSheetId="34">#REF!</definedName>
    <definedName name="FKERES_II_9_12" localSheetId="8">#REF!</definedName>
    <definedName name="FKERES_II_9_12">#REF!</definedName>
    <definedName name="FKERES_II_9_7" localSheetId="34">#REF!</definedName>
    <definedName name="FKERES_II_9_7">#REF!</definedName>
    <definedName name="FKERES_II_9_8" localSheetId="34">#REF!</definedName>
    <definedName name="FKERES_II_9_8">#REF!</definedName>
    <definedName name="FKERES_III" localSheetId="5">#REF!</definedName>
    <definedName name="FKERES_III" localSheetId="34">#REF!</definedName>
    <definedName name="FKERES_III">#REF!</definedName>
    <definedName name="FKERES_III_1" localSheetId="34">#REF!</definedName>
    <definedName name="FKERES_III_1">#REF!</definedName>
    <definedName name="FKERES_III_10" localSheetId="34">#REF!</definedName>
    <definedName name="FKERES_III_10">#REF!</definedName>
    <definedName name="FKERES_III_10_12" localSheetId="34">#REF!</definedName>
    <definedName name="FKERES_III_10_12">#REF!</definedName>
    <definedName name="FKERES_III_10_7" localSheetId="34">#REF!</definedName>
    <definedName name="FKERES_III_10_7">#REF!</definedName>
    <definedName name="FKERES_III_10_8" localSheetId="34">#REF!</definedName>
    <definedName name="FKERES_III_10_8">#REF!</definedName>
    <definedName name="FKERES_III_11" localSheetId="34">#REF!</definedName>
    <definedName name="FKERES_III_11">#REF!</definedName>
    <definedName name="FKERES_III_11_1" localSheetId="34">#REF!</definedName>
    <definedName name="FKERES_III_11_1">#REF!</definedName>
    <definedName name="FKERES_III_11_1_1" localSheetId="34">#REF!</definedName>
    <definedName name="FKERES_III_11_1_1">#REF!</definedName>
    <definedName name="FKERES_III_11_1_1_1">NA()</definedName>
    <definedName name="FKERES_III_11_1_1_12" localSheetId="34">#REF!</definedName>
    <definedName name="FKERES_III_11_1_1_12" localSheetId="8">#REF!</definedName>
    <definedName name="FKERES_III_11_1_1_12">#REF!</definedName>
    <definedName name="FKERES_III_11_1_1_2" localSheetId="34">#REF!</definedName>
    <definedName name="FKERES_III_11_1_1_2">#REF!</definedName>
    <definedName name="FKERES_III_11_1_1_7" localSheetId="34">#REF!</definedName>
    <definedName name="FKERES_III_11_1_1_7">#REF!</definedName>
    <definedName name="FKERES_III_11_1_1_8" localSheetId="34">#REF!</definedName>
    <definedName name="FKERES_III_11_1_1_8">#REF!</definedName>
    <definedName name="FKERES_III_11_1_12" localSheetId="34">#REF!</definedName>
    <definedName name="FKERES_III_11_1_12">#REF!</definedName>
    <definedName name="FKERES_III_11_1_2" localSheetId="34">#REF!</definedName>
    <definedName name="FKERES_III_11_1_2">#REF!</definedName>
    <definedName name="FKERES_III_11_1_7" localSheetId="34">#REF!</definedName>
    <definedName name="FKERES_III_11_1_7">#REF!</definedName>
    <definedName name="FKERES_III_11_1_8" localSheetId="34">#REF!</definedName>
    <definedName name="FKERES_III_11_1_8">#REF!</definedName>
    <definedName name="FKERES_III_11_12" localSheetId="34">#REF!</definedName>
    <definedName name="FKERES_III_11_12">#REF!</definedName>
    <definedName name="FKERES_III_11_3" localSheetId="34">#REF!</definedName>
    <definedName name="FKERES_III_11_3">#REF!</definedName>
    <definedName name="FKERES_III_11_3_12" localSheetId="34">#REF!</definedName>
    <definedName name="FKERES_III_11_3_12">#REF!</definedName>
    <definedName name="FKERES_III_11_3_2" localSheetId="34">#REF!</definedName>
    <definedName name="FKERES_III_11_3_2">#REF!</definedName>
    <definedName name="FKERES_III_11_3_7" localSheetId="34">#REF!</definedName>
    <definedName name="FKERES_III_11_3_7">#REF!</definedName>
    <definedName name="FKERES_III_11_3_8" localSheetId="34">#REF!</definedName>
    <definedName name="FKERES_III_11_3_8">#REF!</definedName>
    <definedName name="FKERES_III_11_5" localSheetId="34">#REF!</definedName>
    <definedName name="FKERES_III_11_5">#REF!</definedName>
    <definedName name="FKERES_III_11_5_12" localSheetId="34">#REF!</definedName>
    <definedName name="FKERES_III_11_5_12">#REF!</definedName>
    <definedName name="FKERES_III_11_5_2" localSheetId="34">#REF!</definedName>
    <definedName name="FKERES_III_11_5_2">#REF!</definedName>
    <definedName name="FKERES_III_11_5_7" localSheetId="34">#REF!</definedName>
    <definedName name="FKERES_III_11_5_7">#REF!</definedName>
    <definedName name="FKERES_III_11_5_8" localSheetId="34">#REF!</definedName>
    <definedName name="FKERES_III_11_5_8">#REF!</definedName>
    <definedName name="FKERES_III_11_7" localSheetId="34">#REF!</definedName>
    <definedName name="FKERES_III_11_7">#REF!</definedName>
    <definedName name="FKERES_III_11_8" localSheetId="34">#REF!</definedName>
    <definedName name="FKERES_III_11_8">#REF!</definedName>
    <definedName name="FKERES_III_12" localSheetId="5">#REF!</definedName>
    <definedName name="FKERES_III_12" localSheetId="34">#REF!</definedName>
    <definedName name="FKERES_III_12">#REF!</definedName>
    <definedName name="FKERES_III_12_1">NA()</definedName>
    <definedName name="FKERES_III_12_10" localSheetId="34">#REF!</definedName>
    <definedName name="FKERES_III_12_10" localSheetId="8">#REF!</definedName>
    <definedName name="FKERES_III_12_10">#REF!</definedName>
    <definedName name="FKERES_III_12_10_12" localSheetId="34">#REF!</definedName>
    <definedName name="FKERES_III_12_10_12">#REF!</definedName>
    <definedName name="FKERES_III_12_10_7" localSheetId="34">#REF!</definedName>
    <definedName name="FKERES_III_12_10_7">#REF!</definedName>
    <definedName name="FKERES_III_12_10_8" localSheetId="34">#REF!</definedName>
    <definedName name="FKERES_III_12_10_8">#REF!</definedName>
    <definedName name="FKERES_III_12_12" localSheetId="34">#REF!</definedName>
    <definedName name="FKERES_III_12_12">#REF!</definedName>
    <definedName name="FKERES_III_12_7" localSheetId="34">#REF!</definedName>
    <definedName name="FKERES_III_12_7">#REF!</definedName>
    <definedName name="FKERES_III_12_8" localSheetId="34">#REF!</definedName>
    <definedName name="FKERES_III_12_8">#REF!</definedName>
    <definedName name="FKERES_III_15" localSheetId="5">#REF!</definedName>
    <definedName name="FKERES_III_15" localSheetId="34">#REF!</definedName>
    <definedName name="FKERES_III_15">#REF!</definedName>
    <definedName name="FKERES_III_15_1" localSheetId="34">#REF!</definedName>
    <definedName name="FKERES_III_15_1">#REF!</definedName>
    <definedName name="FKERES_III_15_10" localSheetId="34">#REF!</definedName>
    <definedName name="FKERES_III_15_10">#REF!</definedName>
    <definedName name="FKERES_III_15_10_12" localSheetId="34">#REF!</definedName>
    <definedName name="FKERES_III_15_10_12">#REF!</definedName>
    <definedName name="FKERES_III_15_10_7" localSheetId="34">#REF!</definedName>
    <definedName name="FKERES_III_15_10_7">#REF!</definedName>
    <definedName name="FKERES_III_15_10_8" localSheetId="34">#REF!</definedName>
    <definedName name="FKERES_III_15_10_8">#REF!</definedName>
    <definedName name="FKERES_III_15_11" localSheetId="34">#REF!</definedName>
    <definedName name="FKERES_III_15_11">#REF!</definedName>
    <definedName name="FKERES_III_15_11_1" localSheetId="34">#REF!</definedName>
    <definedName name="FKERES_III_15_11_1">#REF!</definedName>
    <definedName name="FKERES_III_15_11_1_1" localSheetId="34">#REF!</definedName>
    <definedName name="FKERES_III_15_11_1_1">#REF!</definedName>
    <definedName name="FKERES_III_15_11_1_1_1">NA()</definedName>
    <definedName name="FKERES_III_15_11_1_1_12" localSheetId="34">#REF!</definedName>
    <definedName name="FKERES_III_15_11_1_1_12" localSheetId="8">#REF!</definedName>
    <definedName name="FKERES_III_15_11_1_1_12">#REF!</definedName>
    <definedName name="FKERES_III_15_11_1_1_2" localSheetId="34">#REF!</definedName>
    <definedName name="FKERES_III_15_11_1_1_2">#REF!</definedName>
    <definedName name="FKERES_III_15_11_1_1_7" localSheetId="34">#REF!</definedName>
    <definedName name="FKERES_III_15_11_1_1_7">#REF!</definedName>
    <definedName name="FKERES_III_15_11_1_1_8" localSheetId="34">#REF!</definedName>
    <definedName name="FKERES_III_15_11_1_1_8">#REF!</definedName>
    <definedName name="FKERES_III_15_11_1_12" localSheetId="34">#REF!</definedName>
    <definedName name="FKERES_III_15_11_1_12">#REF!</definedName>
    <definedName name="FKERES_III_15_11_1_2" localSheetId="34">#REF!</definedName>
    <definedName name="FKERES_III_15_11_1_2">#REF!</definedName>
    <definedName name="FKERES_III_15_11_1_7" localSheetId="34">#REF!</definedName>
    <definedName name="FKERES_III_15_11_1_7">#REF!</definedName>
    <definedName name="FKERES_III_15_11_1_8" localSheetId="34">#REF!</definedName>
    <definedName name="FKERES_III_15_11_1_8">#REF!</definedName>
    <definedName name="FKERES_III_15_11_12" localSheetId="34">#REF!</definedName>
    <definedName name="FKERES_III_15_11_12">#REF!</definedName>
    <definedName name="FKERES_III_15_11_3" localSheetId="34">#REF!</definedName>
    <definedName name="FKERES_III_15_11_3">#REF!</definedName>
    <definedName name="FKERES_III_15_11_3_12" localSheetId="34">#REF!</definedName>
    <definedName name="FKERES_III_15_11_3_12">#REF!</definedName>
    <definedName name="FKERES_III_15_11_3_2" localSheetId="34">#REF!</definedName>
    <definedName name="FKERES_III_15_11_3_2">#REF!</definedName>
    <definedName name="FKERES_III_15_11_3_7" localSheetId="34">#REF!</definedName>
    <definedName name="FKERES_III_15_11_3_7">#REF!</definedName>
    <definedName name="FKERES_III_15_11_3_8" localSheetId="34">#REF!</definedName>
    <definedName name="FKERES_III_15_11_3_8">#REF!</definedName>
    <definedName name="FKERES_III_15_11_5" localSheetId="34">#REF!</definedName>
    <definedName name="FKERES_III_15_11_5">#REF!</definedName>
    <definedName name="FKERES_III_15_11_5_12" localSheetId="34">#REF!</definedName>
    <definedName name="FKERES_III_15_11_5_12">#REF!</definedName>
    <definedName name="FKERES_III_15_11_5_2" localSheetId="34">#REF!</definedName>
    <definedName name="FKERES_III_15_11_5_2">#REF!</definedName>
    <definedName name="FKERES_III_15_11_5_7" localSheetId="34">#REF!</definedName>
    <definedName name="FKERES_III_15_11_5_7">#REF!</definedName>
    <definedName name="FKERES_III_15_11_5_8" localSheetId="34">#REF!</definedName>
    <definedName name="FKERES_III_15_11_5_8">#REF!</definedName>
    <definedName name="FKERES_III_15_11_7" localSheetId="34">#REF!</definedName>
    <definedName name="FKERES_III_15_11_7">#REF!</definedName>
    <definedName name="FKERES_III_15_11_8" localSheetId="34">#REF!</definedName>
    <definedName name="FKERES_III_15_11_8">#REF!</definedName>
    <definedName name="FKERES_III_15_12" localSheetId="5">#REF!</definedName>
    <definedName name="FKERES_III_15_12" localSheetId="34">#REF!</definedName>
    <definedName name="FKERES_III_15_12">#REF!</definedName>
    <definedName name="FKERES_III_15_12_1">NA()</definedName>
    <definedName name="FKERES_III_15_12_10" localSheetId="34">#REF!</definedName>
    <definedName name="FKERES_III_15_12_10" localSheetId="8">#REF!</definedName>
    <definedName name="FKERES_III_15_12_10">#REF!</definedName>
    <definedName name="FKERES_III_15_12_10_12" localSheetId="34">#REF!</definedName>
    <definedName name="FKERES_III_15_12_10_12">#REF!</definedName>
    <definedName name="FKERES_III_15_12_10_7" localSheetId="34">#REF!</definedName>
    <definedName name="FKERES_III_15_12_10_7">#REF!</definedName>
    <definedName name="FKERES_III_15_12_10_8" localSheetId="34">#REF!</definedName>
    <definedName name="FKERES_III_15_12_10_8">#REF!</definedName>
    <definedName name="FKERES_III_15_12_12" localSheetId="34">#REF!</definedName>
    <definedName name="FKERES_III_15_12_12">#REF!</definedName>
    <definedName name="FKERES_III_15_12_7" localSheetId="34">#REF!</definedName>
    <definedName name="FKERES_III_15_12_7">#REF!</definedName>
    <definedName name="FKERES_III_15_12_8" localSheetId="34">#REF!</definedName>
    <definedName name="FKERES_III_15_12_8">#REF!</definedName>
    <definedName name="FKERES_III_15_2" localSheetId="34">#REF!</definedName>
    <definedName name="FKERES_III_15_2">#REF!</definedName>
    <definedName name="FKERES_III_15_3" localSheetId="34">#REF!</definedName>
    <definedName name="FKERES_III_15_3">#REF!</definedName>
    <definedName name="FKERES_III_15_4" localSheetId="34">#REF!</definedName>
    <definedName name="FKERES_III_15_4">#REF!</definedName>
    <definedName name="FKERES_III_15_7" localSheetId="34">#REF!</definedName>
    <definedName name="FKERES_III_15_7">#REF!</definedName>
    <definedName name="FKERES_III_15_8" localSheetId="34">#REF!</definedName>
    <definedName name="FKERES_III_15_8">#REF!</definedName>
    <definedName name="FKERES_III_15_9" localSheetId="34">#REF!</definedName>
    <definedName name="FKERES_III_15_9">#REF!</definedName>
    <definedName name="FKERES_III_15_9_1">NA()</definedName>
    <definedName name="FKERES_III_15_9_12" localSheetId="34">#REF!</definedName>
    <definedName name="FKERES_III_15_9_12" localSheetId="8">#REF!</definedName>
    <definedName name="FKERES_III_15_9_12">#REF!</definedName>
    <definedName name="FKERES_III_15_9_7" localSheetId="34">#REF!</definedName>
    <definedName name="FKERES_III_15_9_7">#REF!</definedName>
    <definedName name="FKERES_III_15_9_8" localSheetId="34">#REF!</definedName>
    <definedName name="FKERES_III_15_9_8">#REF!</definedName>
    <definedName name="FKERES_III_2" localSheetId="5">#REF!</definedName>
    <definedName name="FKERES_III_2" localSheetId="34">#REF!</definedName>
    <definedName name="FKERES_III_2">#REF!</definedName>
    <definedName name="FKERES_III_2_1" localSheetId="34">#REF!</definedName>
    <definedName name="FKERES_III_2_1">#REF!</definedName>
    <definedName name="FKERES_III_2_1_1" localSheetId="34">#REF!</definedName>
    <definedName name="FKERES_III_2_1_1">#REF!</definedName>
    <definedName name="FKERES_III_2_10" localSheetId="34">#REF!</definedName>
    <definedName name="FKERES_III_2_10">#REF!</definedName>
    <definedName name="FKERES_III_2_10_12" localSheetId="34">#REF!</definedName>
    <definedName name="FKERES_III_2_10_12">#REF!</definedName>
    <definedName name="FKERES_III_2_10_7" localSheetId="34">#REF!</definedName>
    <definedName name="FKERES_III_2_10_7">#REF!</definedName>
    <definedName name="FKERES_III_2_10_8" localSheetId="34">#REF!</definedName>
    <definedName name="FKERES_III_2_10_8">#REF!</definedName>
    <definedName name="FKERES_III_2_11" localSheetId="34">#REF!</definedName>
    <definedName name="FKERES_III_2_11">#REF!</definedName>
    <definedName name="FKERES_III_2_11_1" localSheetId="34">#REF!</definedName>
    <definedName name="FKERES_III_2_11_1">#REF!</definedName>
    <definedName name="FKERES_III_2_11_1_1" localSheetId="34">#REF!</definedName>
    <definedName name="FKERES_III_2_11_1_1">#REF!</definedName>
    <definedName name="FKERES_III_2_11_1_1_1">NA()</definedName>
    <definedName name="FKERES_III_2_11_1_1_12" localSheetId="34">#REF!</definedName>
    <definedName name="FKERES_III_2_11_1_1_12" localSheetId="8">#REF!</definedName>
    <definedName name="FKERES_III_2_11_1_1_12">#REF!</definedName>
    <definedName name="FKERES_III_2_11_1_1_2" localSheetId="34">#REF!</definedName>
    <definedName name="FKERES_III_2_11_1_1_2">#REF!</definedName>
    <definedName name="FKERES_III_2_11_1_1_7" localSheetId="34">#REF!</definedName>
    <definedName name="FKERES_III_2_11_1_1_7">#REF!</definedName>
    <definedName name="FKERES_III_2_11_1_1_8" localSheetId="34">#REF!</definedName>
    <definedName name="FKERES_III_2_11_1_1_8">#REF!</definedName>
    <definedName name="FKERES_III_2_11_1_12" localSheetId="34">#REF!</definedName>
    <definedName name="FKERES_III_2_11_1_12">#REF!</definedName>
    <definedName name="FKERES_III_2_11_1_2" localSheetId="34">#REF!</definedName>
    <definedName name="FKERES_III_2_11_1_2">#REF!</definedName>
    <definedName name="FKERES_III_2_11_1_7" localSheetId="34">#REF!</definedName>
    <definedName name="FKERES_III_2_11_1_7">#REF!</definedName>
    <definedName name="FKERES_III_2_11_1_8" localSheetId="34">#REF!</definedName>
    <definedName name="FKERES_III_2_11_1_8">#REF!</definedName>
    <definedName name="FKERES_III_2_11_12" localSheetId="34">#REF!</definedName>
    <definedName name="FKERES_III_2_11_12">#REF!</definedName>
    <definedName name="FKERES_III_2_11_3" localSheetId="34">#REF!</definedName>
    <definedName name="FKERES_III_2_11_3">#REF!</definedName>
    <definedName name="FKERES_III_2_11_3_12" localSheetId="34">#REF!</definedName>
    <definedName name="FKERES_III_2_11_3_12">#REF!</definedName>
    <definedName name="FKERES_III_2_11_3_2" localSheetId="34">#REF!</definedName>
    <definedName name="FKERES_III_2_11_3_2">#REF!</definedName>
    <definedName name="FKERES_III_2_11_3_7" localSheetId="34">#REF!</definedName>
    <definedName name="FKERES_III_2_11_3_7">#REF!</definedName>
    <definedName name="FKERES_III_2_11_3_8" localSheetId="34">#REF!</definedName>
    <definedName name="FKERES_III_2_11_3_8">#REF!</definedName>
    <definedName name="FKERES_III_2_11_5" localSheetId="34">#REF!</definedName>
    <definedName name="FKERES_III_2_11_5">#REF!</definedName>
    <definedName name="FKERES_III_2_11_5_12" localSheetId="34">#REF!</definedName>
    <definedName name="FKERES_III_2_11_5_12">#REF!</definedName>
    <definedName name="FKERES_III_2_11_5_2" localSheetId="34">#REF!</definedName>
    <definedName name="FKERES_III_2_11_5_2">#REF!</definedName>
    <definedName name="FKERES_III_2_11_5_7" localSheetId="34">#REF!</definedName>
    <definedName name="FKERES_III_2_11_5_7">#REF!</definedName>
    <definedName name="FKERES_III_2_11_5_8" localSheetId="34">#REF!</definedName>
    <definedName name="FKERES_III_2_11_5_8">#REF!</definedName>
    <definedName name="FKERES_III_2_11_7" localSheetId="34">#REF!</definedName>
    <definedName name="FKERES_III_2_11_7">#REF!</definedName>
    <definedName name="FKERES_III_2_11_8" localSheetId="34">#REF!</definedName>
    <definedName name="FKERES_III_2_11_8">#REF!</definedName>
    <definedName name="FKERES_III_2_12" localSheetId="5">#REF!</definedName>
    <definedName name="FKERES_III_2_12" localSheetId="34">#REF!</definedName>
    <definedName name="FKERES_III_2_12">#REF!</definedName>
    <definedName name="FKERES_III_2_2" localSheetId="34">#REF!</definedName>
    <definedName name="FKERES_III_2_2">#REF!</definedName>
    <definedName name="FKERES_III_2_3" localSheetId="34">#REF!</definedName>
    <definedName name="FKERES_III_2_3">#REF!</definedName>
    <definedName name="FKERES_III_2_4" localSheetId="34">#REF!</definedName>
    <definedName name="FKERES_III_2_4">#REF!</definedName>
    <definedName name="FKERES_III_2_7" localSheetId="34">#REF!</definedName>
    <definedName name="FKERES_III_2_7">#REF!</definedName>
    <definedName name="FKERES_III_2_8" localSheetId="34">#REF!</definedName>
    <definedName name="FKERES_III_2_8">#REF!</definedName>
    <definedName name="FKERES_III_20" localSheetId="5">#REF!</definedName>
    <definedName name="FKERES_III_20" localSheetId="34">#REF!</definedName>
    <definedName name="FKERES_III_20">#REF!</definedName>
    <definedName name="FKERES_III_20_1" localSheetId="34">#REF!</definedName>
    <definedName name="FKERES_III_20_1">#REF!</definedName>
    <definedName name="FKERES_III_20_10" localSheetId="34">#REF!</definedName>
    <definedName name="FKERES_III_20_10">#REF!</definedName>
    <definedName name="FKERES_III_20_10_12" localSheetId="34">#REF!</definedName>
    <definedName name="FKERES_III_20_10_12">#REF!</definedName>
    <definedName name="FKERES_III_20_10_7" localSheetId="34">#REF!</definedName>
    <definedName name="FKERES_III_20_10_7">#REF!</definedName>
    <definedName name="FKERES_III_20_10_8" localSheetId="34">#REF!</definedName>
    <definedName name="FKERES_III_20_10_8">#REF!</definedName>
    <definedName name="FKERES_III_20_11" localSheetId="34">#REF!</definedName>
    <definedName name="FKERES_III_20_11">#REF!</definedName>
    <definedName name="FKERES_III_20_11_1" localSheetId="34">#REF!</definedName>
    <definedName name="FKERES_III_20_11_1">#REF!</definedName>
    <definedName name="FKERES_III_20_11_1_1" localSheetId="34">#REF!</definedName>
    <definedName name="FKERES_III_20_11_1_1">#REF!</definedName>
    <definedName name="FKERES_III_20_11_1_1_1">NA()</definedName>
    <definedName name="FKERES_III_20_11_1_1_12" localSheetId="34">#REF!</definedName>
    <definedName name="FKERES_III_20_11_1_1_12" localSheetId="8">#REF!</definedName>
    <definedName name="FKERES_III_20_11_1_1_12">#REF!</definedName>
    <definedName name="FKERES_III_20_11_1_1_2" localSheetId="34">#REF!</definedName>
    <definedName name="FKERES_III_20_11_1_1_2">#REF!</definedName>
    <definedName name="FKERES_III_20_11_1_1_7" localSheetId="34">#REF!</definedName>
    <definedName name="FKERES_III_20_11_1_1_7">#REF!</definedName>
    <definedName name="FKERES_III_20_11_1_1_8" localSheetId="34">#REF!</definedName>
    <definedName name="FKERES_III_20_11_1_1_8">#REF!</definedName>
    <definedName name="FKERES_III_20_11_1_12" localSheetId="34">#REF!</definedName>
    <definedName name="FKERES_III_20_11_1_12">#REF!</definedName>
    <definedName name="FKERES_III_20_11_1_2" localSheetId="34">#REF!</definedName>
    <definedName name="FKERES_III_20_11_1_2">#REF!</definedName>
    <definedName name="FKERES_III_20_11_1_7" localSheetId="34">#REF!</definedName>
    <definedName name="FKERES_III_20_11_1_7">#REF!</definedName>
    <definedName name="FKERES_III_20_11_1_8" localSheetId="34">#REF!</definedName>
    <definedName name="FKERES_III_20_11_1_8">#REF!</definedName>
    <definedName name="FKERES_III_20_11_12" localSheetId="34">#REF!</definedName>
    <definedName name="FKERES_III_20_11_12">#REF!</definedName>
    <definedName name="FKERES_III_20_11_3" localSheetId="34">#REF!</definedName>
    <definedName name="FKERES_III_20_11_3">#REF!</definedName>
    <definedName name="FKERES_III_20_11_3_12" localSheetId="34">#REF!</definedName>
    <definedName name="FKERES_III_20_11_3_12">#REF!</definedName>
    <definedName name="FKERES_III_20_11_3_2" localSheetId="34">#REF!</definedName>
    <definedName name="FKERES_III_20_11_3_2">#REF!</definedName>
    <definedName name="FKERES_III_20_11_3_7" localSheetId="34">#REF!</definedName>
    <definedName name="FKERES_III_20_11_3_7">#REF!</definedName>
    <definedName name="FKERES_III_20_11_3_8" localSheetId="34">#REF!</definedName>
    <definedName name="FKERES_III_20_11_3_8">#REF!</definedName>
    <definedName name="FKERES_III_20_11_5" localSheetId="34">#REF!</definedName>
    <definedName name="FKERES_III_20_11_5">#REF!</definedName>
    <definedName name="FKERES_III_20_11_5_12" localSheetId="34">#REF!</definedName>
    <definedName name="FKERES_III_20_11_5_12">#REF!</definedName>
    <definedName name="FKERES_III_20_11_5_2" localSheetId="34">#REF!</definedName>
    <definedName name="FKERES_III_20_11_5_2">#REF!</definedName>
    <definedName name="FKERES_III_20_11_5_7" localSheetId="34">#REF!</definedName>
    <definedName name="FKERES_III_20_11_5_7">#REF!</definedName>
    <definedName name="FKERES_III_20_11_5_8" localSheetId="34">#REF!</definedName>
    <definedName name="FKERES_III_20_11_5_8">#REF!</definedName>
    <definedName name="FKERES_III_20_11_7" localSheetId="34">#REF!</definedName>
    <definedName name="FKERES_III_20_11_7">#REF!</definedName>
    <definedName name="FKERES_III_20_11_8" localSheetId="34">#REF!</definedName>
    <definedName name="FKERES_III_20_11_8">#REF!</definedName>
    <definedName name="FKERES_III_20_12" localSheetId="5">#REF!</definedName>
    <definedName name="FKERES_III_20_12" localSheetId="34">#REF!</definedName>
    <definedName name="FKERES_III_20_12">#REF!</definedName>
    <definedName name="FKERES_III_20_12_1">NA()</definedName>
    <definedName name="FKERES_III_20_12_10" localSheetId="34">#REF!</definedName>
    <definedName name="FKERES_III_20_12_10" localSheetId="8">#REF!</definedName>
    <definedName name="FKERES_III_20_12_10">#REF!</definedName>
    <definedName name="FKERES_III_20_12_10_12" localSheetId="34">#REF!</definedName>
    <definedName name="FKERES_III_20_12_10_12">#REF!</definedName>
    <definedName name="FKERES_III_20_12_10_7" localSheetId="34">#REF!</definedName>
    <definedName name="FKERES_III_20_12_10_7">#REF!</definedName>
    <definedName name="FKERES_III_20_12_10_8" localSheetId="34">#REF!</definedName>
    <definedName name="FKERES_III_20_12_10_8">#REF!</definedName>
    <definedName name="FKERES_III_20_12_12" localSheetId="34">#REF!</definedName>
    <definedName name="FKERES_III_20_12_12">#REF!</definedName>
    <definedName name="FKERES_III_20_12_7" localSheetId="34">#REF!</definedName>
    <definedName name="FKERES_III_20_12_7">#REF!</definedName>
    <definedName name="FKERES_III_20_12_8" localSheetId="34">#REF!</definedName>
    <definedName name="FKERES_III_20_12_8">#REF!</definedName>
    <definedName name="FKERES_III_20_2" localSheetId="34">#REF!</definedName>
    <definedName name="FKERES_III_20_2">#REF!</definedName>
    <definedName name="FKERES_III_20_3" localSheetId="34">#REF!</definedName>
    <definedName name="FKERES_III_20_3">#REF!</definedName>
    <definedName name="FKERES_III_20_4" localSheetId="34">#REF!</definedName>
    <definedName name="FKERES_III_20_4">#REF!</definedName>
    <definedName name="FKERES_III_20_7" localSheetId="34">#REF!</definedName>
    <definedName name="FKERES_III_20_7">#REF!</definedName>
    <definedName name="FKERES_III_20_8" localSheetId="34">#REF!</definedName>
    <definedName name="FKERES_III_20_8">#REF!</definedName>
    <definedName name="FKERES_III_20_9" localSheetId="34">#REF!</definedName>
    <definedName name="FKERES_III_20_9">#REF!</definedName>
    <definedName name="FKERES_III_20_9_1">NA()</definedName>
    <definedName name="FKERES_III_20_9_12" localSheetId="34">#REF!</definedName>
    <definedName name="FKERES_III_20_9_12" localSheetId="8">#REF!</definedName>
    <definedName name="FKERES_III_20_9_12">#REF!</definedName>
    <definedName name="FKERES_III_20_9_7" localSheetId="34">#REF!</definedName>
    <definedName name="FKERES_III_20_9_7">#REF!</definedName>
    <definedName name="FKERES_III_20_9_8" localSheetId="34">#REF!</definedName>
    <definedName name="FKERES_III_20_9_8">#REF!</definedName>
    <definedName name="FKERES_III_24" localSheetId="5">#REF!</definedName>
    <definedName name="FKERES_III_24" localSheetId="34">#REF!</definedName>
    <definedName name="FKERES_III_24">#REF!</definedName>
    <definedName name="FKERES_III_24_1" localSheetId="34">#REF!</definedName>
    <definedName name="FKERES_III_24_1">#REF!</definedName>
    <definedName name="FKERES_III_24_10" localSheetId="34">#REF!</definedName>
    <definedName name="FKERES_III_24_10">#REF!</definedName>
    <definedName name="FKERES_III_24_10_12" localSheetId="34">#REF!</definedName>
    <definedName name="FKERES_III_24_10_12">#REF!</definedName>
    <definedName name="FKERES_III_24_10_7" localSheetId="34">#REF!</definedName>
    <definedName name="FKERES_III_24_10_7">#REF!</definedName>
    <definedName name="FKERES_III_24_10_8" localSheetId="34">#REF!</definedName>
    <definedName name="FKERES_III_24_10_8">#REF!</definedName>
    <definedName name="FKERES_III_24_11" localSheetId="34">#REF!</definedName>
    <definedName name="FKERES_III_24_11">#REF!</definedName>
    <definedName name="FKERES_III_24_11_1" localSheetId="34">#REF!</definedName>
    <definedName name="FKERES_III_24_11_1">#REF!</definedName>
    <definedName name="FKERES_III_24_11_1_1" localSheetId="34">#REF!</definedName>
    <definedName name="FKERES_III_24_11_1_1">#REF!</definedName>
    <definedName name="FKERES_III_24_11_1_1_1">NA()</definedName>
    <definedName name="FKERES_III_24_11_1_1_12" localSheetId="34">#REF!</definedName>
    <definedName name="FKERES_III_24_11_1_1_12" localSheetId="8">#REF!</definedName>
    <definedName name="FKERES_III_24_11_1_1_12">#REF!</definedName>
    <definedName name="FKERES_III_24_11_1_1_2" localSheetId="34">#REF!</definedName>
    <definedName name="FKERES_III_24_11_1_1_2">#REF!</definedName>
    <definedName name="FKERES_III_24_11_1_1_7" localSheetId="34">#REF!</definedName>
    <definedName name="FKERES_III_24_11_1_1_7">#REF!</definedName>
    <definedName name="FKERES_III_24_11_1_1_8" localSheetId="34">#REF!</definedName>
    <definedName name="FKERES_III_24_11_1_1_8">#REF!</definedName>
    <definedName name="FKERES_III_24_11_1_12" localSheetId="34">#REF!</definedName>
    <definedName name="FKERES_III_24_11_1_12">#REF!</definedName>
    <definedName name="FKERES_III_24_11_1_2" localSheetId="34">#REF!</definedName>
    <definedName name="FKERES_III_24_11_1_2">#REF!</definedName>
    <definedName name="FKERES_III_24_11_1_7" localSheetId="34">#REF!</definedName>
    <definedName name="FKERES_III_24_11_1_7">#REF!</definedName>
    <definedName name="FKERES_III_24_11_1_8" localSheetId="34">#REF!</definedName>
    <definedName name="FKERES_III_24_11_1_8">#REF!</definedName>
    <definedName name="FKERES_III_24_11_12" localSheetId="34">#REF!</definedName>
    <definedName name="FKERES_III_24_11_12">#REF!</definedName>
    <definedName name="FKERES_III_24_11_3" localSheetId="34">#REF!</definedName>
    <definedName name="FKERES_III_24_11_3">#REF!</definedName>
    <definedName name="FKERES_III_24_11_3_12" localSheetId="34">#REF!</definedName>
    <definedName name="FKERES_III_24_11_3_12">#REF!</definedName>
    <definedName name="FKERES_III_24_11_3_2" localSheetId="34">#REF!</definedName>
    <definedName name="FKERES_III_24_11_3_2">#REF!</definedName>
    <definedName name="FKERES_III_24_11_3_7" localSheetId="34">#REF!</definedName>
    <definedName name="FKERES_III_24_11_3_7">#REF!</definedName>
    <definedName name="FKERES_III_24_11_3_8" localSheetId="34">#REF!</definedName>
    <definedName name="FKERES_III_24_11_3_8">#REF!</definedName>
    <definedName name="FKERES_III_24_11_5" localSheetId="34">#REF!</definedName>
    <definedName name="FKERES_III_24_11_5">#REF!</definedName>
    <definedName name="FKERES_III_24_11_5_12" localSheetId="34">#REF!</definedName>
    <definedName name="FKERES_III_24_11_5_12">#REF!</definedName>
    <definedName name="FKERES_III_24_11_5_2" localSheetId="34">#REF!</definedName>
    <definedName name="FKERES_III_24_11_5_2">#REF!</definedName>
    <definedName name="FKERES_III_24_11_5_7" localSheetId="34">#REF!</definedName>
    <definedName name="FKERES_III_24_11_5_7">#REF!</definedName>
    <definedName name="FKERES_III_24_11_5_8" localSheetId="34">#REF!</definedName>
    <definedName name="FKERES_III_24_11_5_8">#REF!</definedName>
    <definedName name="FKERES_III_24_11_7" localSheetId="34">#REF!</definedName>
    <definedName name="FKERES_III_24_11_7">#REF!</definedName>
    <definedName name="FKERES_III_24_11_8" localSheetId="34">#REF!</definedName>
    <definedName name="FKERES_III_24_11_8">#REF!</definedName>
    <definedName name="FKERES_III_24_12" localSheetId="5">#REF!</definedName>
    <definedName name="FKERES_III_24_12" localSheetId="34">#REF!</definedName>
    <definedName name="FKERES_III_24_12">#REF!</definedName>
    <definedName name="FKERES_III_24_12_1">NA()</definedName>
    <definedName name="FKERES_III_24_12_10" localSheetId="34">#REF!</definedName>
    <definedName name="FKERES_III_24_12_10" localSheetId="8">#REF!</definedName>
    <definedName name="FKERES_III_24_12_10">#REF!</definedName>
    <definedName name="FKERES_III_24_12_10_12" localSheetId="34">#REF!</definedName>
    <definedName name="FKERES_III_24_12_10_12">#REF!</definedName>
    <definedName name="FKERES_III_24_12_10_7" localSheetId="34">#REF!</definedName>
    <definedName name="FKERES_III_24_12_10_7">#REF!</definedName>
    <definedName name="FKERES_III_24_12_10_8" localSheetId="34">#REF!</definedName>
    <definedName name="FKERES_III_24_12_10_8">#REF!</definedName>
    <definedName name="FKERES_III_24_12_12" localSheetId="34">#REF!</definedName>
    <definedName name="FKERES_III_24_12_12">#REF!</definedName>
    <definedName name="FKERES_III_24_12_7" localSheetId="34">#REF!</definedName>
    <definedName name="FKERES_III_24_12_7">#REF!</definedName>
    <definedName name="FKERES_III_24_12_8" localSheetId="34">#REF!</definedName>
    <definedName name="FKERES_III_24_12_8">#REF!</definedName>
    <definedName name="FKERES_III_24_2" localSheetId="34">#REF!</definedName>
    <definedName name="FKERES_III_24_2">#REF!</definedName>
    <definedName name="FKERES_III_24_3" localSheetId="34">#REF!</definedName>
    <definedName name="FKERES_III_24_3">#REF!</definedName>
    <definedName name="FKERES_III_24_4" localSheetId="34">#REF!</definedName>
    <definedName name="FKERES_III_24_4">#REF!</definedName>
    <definedName name="FKERES_III_24_7" localSheetId="34">#REF!</definedName>
    <definedName name="FKERES_III_24_7">#REF!</definedName>
    <definedName name="FKERES_III_24_8" localSheetId="34">#REF!</definedName>
    <definedName name="FKERES_III_24_8">#REF!</definedName>
    <definedName name="FKERES_III_24_9" localSheetId="34">#REF!</definedName>
    <definedName name="FKERES_III_24_9">#REF!</definedName>
    <definedName name="FKERES_III_24_9_1">NA()</definedName>
    <definedName name="FKERES_III_24_9_12" localSheetId="34">#REF!</definedName>
    <definedName name="FKERES_III_24_9_12" localSheetId="8">#REF!</definedName>
    <definedName name="FKERES_III_24_9_12">#REF!</definedName>
    <definedName name="FKERES_III_24_9_7" localSheetId="34">#REF!</definedName>
    <definedName name="FKERES_III_24_9_7">#REF!</definedName>
    <definedName name="FKERES_III_24_9_8" localSheetId="34">#REF!</definedName>
    <definedName name="FKERES_III_24_9_8">#REF!</definedName>
    <definedName name="FKERES_III_28" localSheetId="5">#REF!</definedName>
    <definedName name="FKERES_III_28" localSheetId="34">#REF!</definedName>
    <definedName name="FKERES_III_28">#REF!</definedName>
    <definedName name="FKERES_III_28_1" localSheetId="34">#REF!</definedName>
    <definedName name="FKERES_III_28_1">#REF!</definedName>
    <definedName name="FKERES_III_28_10" localSheetId="34">#REF!</definedName>
    <definedName name="FKERES_III_28_10">#REF!</definedName>
    <definedName name="FKERES_III_28_10_12" localSheetId="34">#REF!</definedName>
    <definedName name="FKERES_III_28_10_12">#REF!</definedName>
    <definedName name="FKERES_III_28_10_7" localSheetId="34">#REF!</definedName>
    <definedName name="FKERES_III_28_10_7">#REF!</definedName>
    <definedName name="FKERES_III_28_10_8" localSheetId="34">#REF!</definedName>
    <definedName name="FKERES_III_28_10_8">#REF!</definedName>
    <definedName name="FKERES_III_28_11" localSheetId="34">#REF!</definedName>
    <definedName name="FKERES_III_28_11">#REF!</definedName>
    <definedName name="FKERES_III_28_11_1" localSheetId="34">#REF!</definedName>
    <definedName name="FKERES_III_28_11_1">#REF!</definedName>
    <definedName name="FKERES_III_28_11_1_1" localSheetId="34">#REF!</definedName>
    <definedName name="FKERES_III_28_11_1_1">#REF!</definedName>
    <definedName name="FKERES_III_28_11_1_1_1">NA()</definedName>
    <definedName name="FKERES_III_28_11_1_1_12" localSheetId="34">#REF!</definedName>
    <definedName name="FKERES_III_28_11_1_1_12" localSheetId="8">#REF!</definedName>
    <definedName name="FKERES_III_28_11_1_1_12">#REF!</definedName>
    <definedName name="FKERES_III_28_11_1_1_2" localSheetId="34">#REF!</definedName>
    <definedName name="FKERES_III_28_11_1_1_2">#REF!</definedName>
    <definedName name="FKERES_III_28_11_1_1_7" localSheetId="34">#REF!</definedName>
    <definedName name="FKERES_III_28_11_1_1_7">#REF!</definedName>
    <definedName name="FKERES_III_28_11_1_1_8" localSheetId="34">#REF!</definedName>
    <definedName name="FKERES_III_28_11_1_1_8">#REF!</definedName>
    <definedName name="FKERES_III_28_11_1_12" localSheetId="34">#REF!</definedName>
    <definedName name="FKERES_III_28_11_1_12">#REF!</definedName>
    <definedName name="FKERES_III_28_11_1_2" localSheetId="34">#REF!</definedName>
    <definedName name="FKERES_III_28_11_1_2">#REF!</definedName>
    <definedName name="FKERES_III_28_11_1_7" localSheetId="34">#REF!</definedName>
    <definedName name="FKERES_III_28_11_1_7">#REF!</definedName>
    <definedName name="FKERES_III_28_11_1_8" localSheetId="34">#REF!</definedName>
    <definedName name="FKERES_III_28_11_1_8">#REF!</definedName>
    <definedName name="FKERES_III_28_11_12" localSheetId="34">#REF!</definedName>
    <definedName name="FKERES_III_28_11_12">#REF!</definedName>
    <definedName name="FKERES_III_28_11_3" localSheetId="34">#REF!</definedName>
    <definedName name="FKERES_III_28_11_3">#REF!</definedName>
    <definedName name="FKERES_III_28_11_3_12" localSheetId="34">#REF!</definedName>
    <definedName name="FKERES_III_28_11_3_12">#REF!</definedName>
    <definedName name="FKERES_III_28_11_3_2" localSheetId="34">#REF!</definedName>
    <definedName name="FKERES_III_28_11_3_2">#REF!</definedName>
    <definedName name="FKERES_III_28_11_3_7" localSheetId="34">#REF!</definedName>
    <definedName name="FKERES_III_28_11_3_7">#REF!</definedName>
    <definedName name="FKERES_III_28_11_3_8" localSheetId="34">#REF!</definedName>
    <definedName name="FKERES_III_28_11_3_8">#REF!</definedName>
    <definedName name="FKERES_III_28_11_5" localSheetId="34">#REF!</definedName>
    <definedName name="FKERES_III_28_11_5">#REF!</definedName>
    <definedName name="FKERES_III_28_11_5_12" localSheetId="34">#REF!</definedName>
    <definedName name="FKERES_III_28_11_5_12">#REF!</definedName>
    <definedName name="FKERES_III_28_11_5_2" localSheetId="34">#REF!</definedName>
    <definedName name="FKERES_III_28_11_5_2">#REF!</definedName>
    <definedName name="FKERES_III_28_11_5_7" localSheetId="34">#REF!</definedName>
    <definedName name="FKERES_III_28_11_5_7">#REF!</definedName>
    <definedName name="FKERES_III_28_11_5_8" localSheetId="34">#REF!</definedName>
    <definedName name="FKERES_III_28_11_5_8">#REF!</definedName>
    <definedName name="FKERES_III_28_11_7" localSheetId="34">#REF!</definedName>
    <definedName name="FKERES_III_28_11_7">#REF!</definedName>
    <definedName name="FKERES_III_28_11_8" localSheetId="34">#REF!</definedName>
    <definedName name="FKERES_III_28_11_8">#REF!</definedName>
    <definedName name="FKERES_III_28_12" localSheetId="5">#REF!</definedName>
    <definedName name="FKERES_III_28_12" localSheetId="34">#REF!</definedName>
    <definedName name="FKERES_III_28_12">#REF!</definedName>
    <definedName name="FKERES_III_28_12_1">NA()</definedName>
    <definedName name="FKERES_III_28_12_10" localSheetId="34">#REF!</definedName>
    <definedName name="FKERES_III_28_12_10" localSheetId="8">#REF!</definedName>
    <definedName name="FKERES_III_28_12_10">#REF!</definedName>
    <definedName name="FKERES_III_28_12_10_12" localSheetId="34">#REF!</definedName>
    <definedName name="FKERES_III_28_12_10_12">#REF!</definedName>
    <definedName name="FKERES_III_28_12_10_7" localSheetId="34">#REF!</definedName>
    <definedName name="FKERES_III_28_12_10_7">#REF!</definedName>
    <definedName name="FKERES_III_28_12_10_8" localSheetId="34">#REF!</definedName>
    <definedName name="FKERES_III_28_12_10_8">#REF!</definedName>
    <definedName name="FKERES_III_28_12_12" localSheetId="34">#REF!</definedName>
    <definedName name="FKERES_III_28_12_12">#REF!</definedName>
    <definedName name="FKERES_III_28_12_7" localSheetId="34">#REF!</definedName>
    <definedName name="FKERES_III_28_12_7">#REF!</definedName>
    <definedName name="FKERES_III_28_12_8" localSheetId="34">#REF!</definedName>
    <definedName name="FKERES_III_28_12_8">#REF!</definedName>
    <definedName name="FKERES_III_28_2" localSheetId="34">#REF!</definedName>
    <definedName name="FKERES_III_28_2">#REF!</definedName>
    <definedName name="FKERES_III_28_3" localSheetId="34">#REF!</definedName>
    <definedName name="FKERES_III_28_3">#REF!</definedName>
    <definedName name="FKERES_III_28_4" localSheetId="34">#REF!</definedName>
    <definedName name="FKERES_III_28_4">#REF!</definedName>
    <definedName name="FKERES_III_28_7" localSheetId="34">#REF!</definedName>
    <definedName name="FKERES_III_28_7">#REF!</definedName>
    <definedName name="FKERES_III_28_8" localSheetId="34">#REF!</definedName>
    <definedName name="FKERES_III_28_8">#REF!</definedName>
    <definedName name="FKERES_III_28_9" localSheetId="34">#REF!</definedName>
    <definedName name="FKERES_III_28_9">#REF!</definedName>
    <definedName name="FKERES_III_28_9_1">NA()</definedName>
    <definedName name="FKERES_III_28_9_12" localSheetId="34">#REF!</definedName>
    <definedName name="FKERES_III_28_9_12" localSheetId="8">#REF!</definedName>
    <definedName name="FKERES_III_28_9_12">#REF!</definedName>
    <definedName name="FKERES_III_28_9_7" localSheetId="34">#REF!</definedName>
    <definedName name="FKERES_III_28_9_7">#REF!</definedName>
    <definedName name="FKERES_III_28_9_8" localSheetId="34">#REF!</definedName>
    <definedName name="FKERES_III_28_9_8">#REF!</definedName>
    <definedName name="FKERES_III_3" localSheetId="34">#REF!</definedName>
    <definedName name="FKERES_III_3">#REF!</definedName>
    <definedName name="FKERES_III_31" localSheetId="5">#REF!</definedName>
    <definedName name="FKERES_III_31" localSheetId="34">#REF!</definedName>
    <definedName name="FKERES_III_31">#REF!</definedName>
    <definedName name="FKERES_III_31_1" localSheetId="34">#REF!</definedName>
    <definedName name="FKERES_III_31_1">#REF!</definedName>
    <definedName name="FKERES_III_31_10" localSheetId="34">#REF!</definedName>
    <definedName name="FKERES_III_31_10">#REF!</definedName>
    <definedName name="FKERES_III_31_10_12" localSheetId="34">#REF!</definedName>
    <definedName name="FKERES_III_31_10_12">#REF!</definedName>
    <definedName name="FKERES_III_31_10_7" localSheetId="34">#REF!</definedName>
    <definedName name="FKERES_III_31_10_7">#REF!</definedName>
    <definedName name="FKERES_III_31_10_8" localSheetId="34">#REF!</definedName>
    <definedName name="FKERES_III_31_10_8">#REF!</definedName>
    <definedName name="FKERES_III_31_11" localSheetId="34">#REF!</definedName>
    <definedName name="FKERES_III_31_11">#REF!</definedName>
    <definedName name="FKERES_III_31_11_1" localSheetId="34">#REF!</definedName>
    <definedName name="FKERES_III_31_11_1">#REF!</definedName>
    <definedName name="FKERES_III_31_11_1_1" localSheetId="34">#REF!</definedName>
    <definedName name="FKERES_III_31_11_1_1">#REF!</definedName>
    <definedName name="FKERES_III_31_11_1_1_1">NA()</definedName>
    <definedName name="FKERES_III_31_11_1_1_12" localSheetId="34">#REF!</definedName>
    <definedName name="FKERES_III_31_11_1_1_12" localSheetId="8">#REF!</definedName>
    <definedName name="FKERES_III_31_11_1_1_12">#REF!</definedName>
    <definedName name="FKERES_III_31_11_1_1_2" localSheetId="34">#REF!</definedName>
    <definedName name="FKERES_III_31_11_1_1_2">#REF!</definedName>
    <definedName name="FKERES_III_31_11_1_1_7" localSheetId="34">#REF!</definedName>
    <definedName name="FKERES_III_31_11_1_1_7">#REF!</definedName>
    <definedName name="FKERES_III_31_11_1_1_8" localSheetId="34">#REF!</definedName>
    <definedName name="FKERES_III_31_11_1_1_8">#REF!</definedName>
    <definedName name="FKERES_III_31_11_1_12" localSheetId="34">#REF!</definedName>
    <definedName name="FKERES_III_31_11_1_12">#REF!</definedName>
    <definedName name="FKERES_III_31_11_1_2" localSheetId="34">#REF!</definedName>
    <definedName name="FKERES_III_31_11_1_2">#REF!</definedName>
    <definedName name="FKERES_III_31_11_1_7" localSheetId="34">#REF!</definedName>
    <definedName name="FKERES_III_31_11_1_7">#REF!</definedName>
    <definedName name="FKERES_III_31_11_1_8" localSheetId="34">#REF!</definedName>
    <definedName name="FKERES_III_31_11_1_8">#REF!</definedName>
    <definedName name="FKERES_III_31_11_12" localSheetId="34">#REF!</definedName>
    <definedName name="FKERES_III_31_11_12">#REF!</definedName>
    <definedName name="FKERES_III_31_11_3" localSheetId="34">#REF!</definedName>
    <definedName name="FKERES_III_31_11_3">#REF!</definedName>
    <definedName name="FKERES_III_31_11_3_12" localSheetId="34">#REF!</definedName>
    <definedName name="FKERES_III_31_11_3_12">#REF!</definedName>
    <definedName name="FKERES_III_31_11_3_2" localSheetId="34">#REF!</definedName>
    <definedName name="FKERES_III_31_11_3_2">#REF!</definedName>
    <definedName name="FKERES_III_31_11_3_7" localSheetId="34">#REF!</definedName>
    <definedName name="FKERES_III_31_11_3_7">#REF!</definedName>
    <definedName name="FKERES_III_31_11_3_8" localSheetId="34">#REF!</definedName>
    <definedName name="FKERES_III_31_11_3_8">#REF!</definedName>
    <definedName name="FKERES_III_31_11_5" localSheetId="34">#REF!</definedName>
    <definedName name="FKERES_III_31_11_5">#REF!</definedName>
    <definedName name="FKERES_III_31_11_5_12" localSheetId="34">#REF!</definedName>
    <definedName name="FKERES_III_31_11_5_12">#REF!</definedName>
    <definedName name="FKERES_III_31_11_5_2" localSheetId="34">#REF!</definedName>
    <definedName name="FKERES_III_31_11_5_2">#REF!</definedName>
    <definedName name="FKERES_III_31_11_5_7" localSheetId="34">#REF!</definedName>
    <definedName name="FKERES_III_31_11_5_7">#REF!</definedName>
    <definedName name="FKERES_III_31_11_5_8" localSheetId="34">#REF!</definedName>
    <definedName name="FKERES_III_31_11_5_8">#REF!</definedName>
    <definedName name="FKERES_III_31_11_7" localSheetId="34">#REF!</definedName>
    <definedName name="FKERES_III_31_11_7">#REF!</definedName>
    <definedName name="FKERES_III_31_11_8" localSheetId="34">#REF!</definedName>
    <definedName name="FKERES_III_31_11_8">#REF!</definedName>
    <definedName name="FKERES_III_31_12" localSheetId="5">#REF!</definedName>
    <definedName name="FKERES_III_31_12" localSheetId="34">#REF!</definedName>
    <definedName name="FKERES_III_31_12">#REF!</definedName>
    <definedName name="FKERES_III_31_12_1">NA()</definedName>
    <definedName name="FKERES_III_31_12_10" localSheetId="34">#REF!</definedName>
    <definedName name="FKERES_III_31_12_10" localSheetId="8">#REF!</definedName>
    <definedName name="FKERES_III_31_12_10">#REF!</definedName>
    <definedName name="FKERES_III_31_12_10_12" localSheetId="34">#REF!</definedName>
    <definedName name="FKERES_III_31_12_10_12">#REF!</definedName>
    <definedName name="FKERES_III_31_12_10_7" localSheetId="34">#REF!</definedName>
    <definedName name="FKERES_III_31_12_10_7">#REF!</definedName>
    <definedName name="FKERES_III_31_12_10_8" localSheetId="34">#REF!</definedName>
    <definedName name="FKERES_III_31_12_10_8">#REF!</definedName>
    <definedName name="FKERES_III_31_12_12" localSheetId="34">#REF!</definedName>
    <definedName name="FKERES_III_31_12_12">#REF!</definedName>
    <definedName name="FKERES_III_31_12_7" localSheetId="34">#REF!</definedName>
    <definedName name="FKERES_III_31_12_7">#REF!</definedName>
    <definedName name="FKERES_III_31_12_8" localSheetId="34">#REF!</definedName>
    <definedName name="FKERES_III_31_12_8">#REF!</definedName>
    <definedName name="FKERES_III_31_2" localSheetId="34">#REF!</definedName>
    <definedName name="FKERES_III_31_2">#REF!</definedName>
    <definedName name="FKERES_III_31_3" localSheetId="34">#REF!</definedName>
    <definedName name="FKERES_III_31_3">#REF!</definedName>
    <definedName name="FKERES_III_31_4" localSheetId="34">#REF!</definedName>
    <definedName name="FKERES_III_31_4">#REF!</definedName>
    <definedName name="FKERES_III_31_7" localSheetId="34">#REF!</definedName>
    <definedName name="FKERES_III_31_7">#REF!</definedName>
    <definedName name="FKERES_III_31_8" localSheetId="34">#REF!</definedName>
    <definedName name="FKERES_III_31_8">#REF!</definedName>
    <definedName name="FKERES_III_31_9" localSheetId="34">#REF!</definedName>
    <definedName name="FKERES_III_31_9">#REF!</definedName>
    <definedName name="FKERES_III_31_9_1">NA()</definedName>
    <definedName name="FKERES_III_31_9_12" localSheetId="34">#REF!</definedName>
    <definedName name="FKERES_III_31_9_12" localSheetId="8">#REF!</definedName>
    <definedName name="FKERES_III_31_9_12">#REF!</definedName>
    <definedName name="FKERES_III_31_9_7" localSheetId="34">#REF!</definedName>
    <definedName name="FKERES_III_31_9_7">#REF!</definedName>
    <definedName name="FKERES_III_31_9_8" localSheetId="34">#REF!</definedName>
    <definedName name="FKERES_III_31_9_8">#REF!</definedName>
    <definedName name="FKERES_III_4" localSheetId="34">#REF!</definedName>
    <definedName name="FKERES_III_4">#REF!</definedName>
    <definedName name="FKERES_III_7" localSheetId="34">#REF!</definedName>
    <definedName name="FKERES_III_7">#REF!</definedName>
    <definedName name="FKERES_III_8" localSheetId="34">#REF!</definedName>
    <definedName name="FKERES_III_8">#REF!</definedName>
    <definedName name="FKERES_III_9" localSheetId="34">#REF!</definedName>
    <definedName name="FKERES_III_9">#REF!</definedName>
    <definedName name="FKERES_III_9_1">NA()</definedName>
    <definedName name="FKERES_III_9_12" localSheetId="34">#REF!</definedName>
    <definedName name="FKERES_III_9_12" localSheetId="8">#REF!</definedName>
    <definedName name="FKERES_III_9_12">#REF!</definedName>
    <definedName name="FKERES_III_9_7" localSheetId="34">#REF!</definedName>
    <definedName name="FKERES_III_9_7">#REF!</definedName>
    <definedName name="FKERES_III_9_8" localSheetId="34">#REF!</definedName>
    <definedName name="FKERES_III_9_8">#REF!</definedName>
    <definedName name="FKERES_IV" localSheetId="5">#REF!</definedName>
    <definedName name="FKERES_IV" localSheetId="34">#REF!</definedName>
    <definedName name="FKERES_IV">#REF!</definedName>
    <definedName name="FKERES_IV_1" localSheetId="34">#REF!</definedName>
    <definedName name="FKERES_IV_1">#REF!</definedName>
    <definedName name="FKERES_IV_10" localSheetId="34">#REF!</definedName>
    <definedName name="FKERES_IV_10">#REF!</definedName>
    <definedName name="FKERES_IV_10_12" localSheetId="34">#REF!</definedName>
    <definedName name="FKERES_IV_10_12">#REF!</definedName>
    <definedName name="FKERES_IV_10_7" localSheetId="34">#REF!</definedName>
    <definedName name="FKERES_IV_10_7">#REF!</definedName>
    <definedName name="FKERES_IV_10_8" localSheetId="34">#REF!</definedName>
    <definedName name="FKERES_IV_10_8">#REF!</definedName>
    <definedName name="FKERES_IV_11" localSheetId="34">#REF!</definedName>
    <definedName name="FKERES_IV_11">#REF!</definedName>
    <definedName name="FKERES_IV_11_1" localSheetId="34">#REF!</definedName>
    <definedName name="FKERES_IV_11_1">#REF!</definedName>
    <definedName name="FKERES_IV_11_1_1" localSheetId="34">#REF!</definedName>
    <definedName name="FKERES_IV_11_1_1">#REF!</definedName>
    <definedName name="FKERES_IV_11_1_1_1">NA()</definedName>
    <definedName name="FKERES_IV_11_1_1_12" localSheetId="34">#REF!</definedName>
    <definedName name="FKERES_IV_11_1_1_12" localSheetId="8">#REF!</definedName>
    <definedName name="FKERES_IV_11_1_1_12">#REF!</definedName>
    <definedName name="FKERES_IV_11_1_1_2" localSheetId="34">#REF!</definedName>
    <definedName name="FKERES_IV_11_1_1_2">#REF!</definedName>
    <definedName name="FKERES_IV_11_1_1_7" localSheetId="34">#REF!</definedName>
    <definedName name="FKERES_IV_11_1_1_7">#REF!</definedName>
    <definedName name="FKERES_IV_11_1_1_8" localSheetId="34">#REF!</definedName>
    <definedName name="FKERES_IV_11_1_1_8">#REF!</definedName>
    <definedName name="FKERES_IV_11_1_12" localSheetId="34">#REF!</definedName>
    <definedName name="FKERES_IV_11_1_12">#REF!</definedName>
    <definedName name="FKERES_IV_11_1_2" localSheetId="34">#REF!</definedName>
    <definedName name="FKERES_IV_11_1_2">#REF!</definedName>
    <definedName name="FKERES_IV_11_1_7" localSheetId="34">#REF!</definedName>
    <definedName name="FKERES_IV_11_1_7">#REF!</definedName>
    <definedName name="FKERES_IV_11_1_8" localSheetId="34">#REF!</definedName>
    <definedName name="FKERES_IV_11_1_8">#REF!</definedName>
    <definedName name="FKERES_IV_11_12" localSheetId="34">#REF!</definedName>
    <definedName name="FKERES_IV_11_12">#REF!</definedName>
    <definedName name="FKERES_IV_11_3" localSheetId="34">#REF!</definedName>
    <definedName name="FKERES_IV_11_3">#REF!</definedName>
    <definedName name="FKERES_IV_11_3_12" localSheetId="34">#REF!</definedName>
    <definedName name="FKERES_IV_11_3_12">#REF!</definedName>
    <definedName name="FKERES_IV_11_3_2" localSheetId="34">#REF!</definedName>
    <definedName name="FKERES_IV_11_3_2">#REF!</definedName>
    <definedName name="FKERES_IV_11_3_7" localSheetId="34">#REF!</definedName>
    <definedName name="FKERES_IV_11_3_7">#REF!</definedName>
    <definedName name="FKERES_IV_11_3_8" localSheetId="34">#REF!</definedName>
    <definedName name="FKERES_IV_11_3_8">#REF!</definedName>
    <definedName name="FKERES_IV_11_5" localSheetId="34">#REF!</definedName>
    <definedName name="FKERES_IV_11_5">#REF!</definedName>
    <definedName name="FKERES_IV_11_5_12" localSheetId="34">#REF!</definedName>
    <definedName name="FKERES_IV_11_5_12">#REF!</definedName>
    <definedName name="FKERES_IV_11_5_2" localSheetId="34">#REF!</definedName>
    <definedName name="FKERES_IV_11_5_2">#REF!</definedName>
    <definedName name="FKERES_IV_11_5_7" localSheetId="34">#REF!</definedName>
    <definedName name="FKERES_IV_11_5_7">#REF!</definedName>
    <definedName name="FKERES_IV_11_5_8" localSheetId="34">#REF!</definedName>
    <definedName name="FKERES_IV_11_5_8">#REF!</definedName>
    <definedName name="FKERES_IV_11_7" localSheetId="34">#REF!</definedName>
    <definedName name="FKERES_IV_11_7">#REF!</definedName>
    <definedName name="FKERES_IV_11_8" localSheetId="34">#REF!</definedName>
    <definedName name="FKERES_IV_11_8">#REF!</definedName>
    <definedName name="FKERES_IV_12" localSheetId="5">#REF!</definedName>
    <definedName name="FKERES_IV_12" localSheetId="34">#REF!</definedName>
    <definedName name="FKERES_IV_12">#REF!</definedName>
    <definedName name="FKERES_IV_12_1">NA()</definedName>
    <definedName name="FKERES_IV_12_10" localSheetId="34">#REF!</definedName>
    <definedName name="FKERES_IV_12_10" localSheetId="8">#REF!</definedName>
    <definedName name="FKERES_IV_12_10">#REF!</definedName>
    <definedName name="FKERES_IV_12_10_12" localSheetId="34">#REF!</definedName>
    <definedName name="FKERES_IV_12_10_12">#REF!</definedName>
    <definedName name="FKERES_IV_12_10_7" localSheetId="34">#REF!</definedName>
    <definedName name="FKERES_IV_12_10_7">#REF!</definedName>
    <definedName name="FKERES_IV_12_10_8" localSheetId="34">#REF!</definedName>
    <definedName name="FKERES_IV_12_10_8">#REF!</definedName>
    <definedName name="FKERES_IV_12_12" localSheetId="34">#REF!</definedName>
    <definedName name="FKERES_IV_12_12">#REF!</definedName>
    <definedName name="FKERES_IV_12_7" localSheetId="34">#REF!</definedName>
    <definedName name="FKERES_IV_12_7">#REF!</definedName>
    <definedName name="FKERES_IV_12_8" localSheetId="34">#REF!</definedName>
    <definedName name="FKERES_IV_12_8">#REF!</definedName>
    <definedName name="FKERES_IV_15" localSheetId="5">#REF!</definedName>
    <definedName name="FKERES_IV_15" localSheetId="34">#REF!</definedName>
    <definedName name="FKERES_IV_15">#REF!</definedName>
    <definedName name="FKERES_IV_15_1" localSheetId="34">#REF!</definedName>
    <definedName name="FKERES_IV_15_1">#REF!</definedName>
    <definedName name="FKERES_IV_15_10" localSheetId="34">#REF!</definedName>
    <definedName name="FKERES_IV_15_10">#REF!</definedName>
    <definedName name="FKERES_IV_15_10_12" localSheetId="34">#REF!</definedName>
    <definedName name="FKERES_IV_15_10_12">#REF!</definedName>
    <definedName name="FKERES_IV_15_10_7" localSheetId="34">#REF!</definedName>
    <definedName name="FKERES_IV_15_10_7">#REF!</definedName>
    <definedName name="FKERES_IV_15_10_8" localSheetId="34">#REF!</definedName>
    <definedName name="FKERES_IV_15_10_8">#REF!</definedName>
    <definedName name="FKERES_IV_15_11" localSheetId="34">#REF!</definedName>
    <definedName name="FKERES_IV_15_11">#REF!</definedName>
    <definedName name="FKERES_IV_15_11_1" localSheetId="34">#REF!</definedName>
    <definedName name="FKERES_IV_15_11_1">#REF!</definedName>
    <definedName name="FKERES_IV_15_11_1_1" localSheetId="34">#REF!</definedName>
    <definedName name="FKERES_IV_15_11_1_1">#REF!</definedName>
    <definedName name="FKERES_IV_15_11_1_1_1">NA()</definedName>
    <definedName name="FKERES_IV_15_11_1_1_12" localSheetId="34">#REF!</definedName>
    <definedName name="FKERES_IV_15_11_1_1_12" localSheetId="8">#REF!</definedName>
    <definedName name="FKERES_IV_15_11_1_1_12">#REF!</definedName>
    <definedName name="FKERES_IV_15_11_1_1_2" localSheetId="34">#REF!</definedName>
    <definedName name="FKERES_IV_15_11_1_1_2">#REF!</definedName>
    <definedName name="FKERES_IV_15_11_1_1_7" localSheetId="34">#REF!</definedName>
    <definedName name="FKERES_IV_15_11_1_1_7">#REF!</definedName>
    <definedName name="FKERES_IV_15_11_1_1_8" localSheetId="34">#REF!</definedName>
    <definedName name="FKERES_IV_15_11_1_1_8">#REF!</definedName>
    <definedName name="FKERES_IV_15_11_1_12" localSheetId="34">#REF!</definedName>
    <definedName name="FKERES_IV_15_11_1_12">#REF!</definedName>
    <definedName name="FKERES_IV_15_11_1_2" localSheetId="34">#REF!</definedName>
    <definedName name="FKERES_IV_15_11_1_2">#REF!</definedName>
    <definedName name="FKERES_IV_15_11_1_7" localSheetId="34">#REF!</definedName>
    <definedName name="FKERES_IV_15_11_1_7">#REF!</definedName>
    <definedName name="FKERES_IV_15_11_1_8" localSheetId="34">#REF!</definedName>
    <definedName name="FKERES_IV_15_11_1_8">#REF!</definedName>
    <definedName name="FKERES_IV_15_11_12" localSheetId="34">#REF!</definedName>
    <definedName name="FKERES_IV_15_11_12">#REF!</definedName>
    <definedName name="FKERES_IV_15_11_3" localSheetId="34">#REF!</definedName>
    <definedName name="FKERES_IV_15_11_3">#REF!</definedName>
    <definedName name="FKERES_IV_15_11_3_12" localSheetId="34">#REF!</definedName>
    <definedName name="FKERES_IV_15_11_3_12">#REF!</definedName>
    <definedName name="FKERES_IV_15_11_3_2" localSheetId="34">#REF!</definedName>
    <definedName name="FKERES_IV_15_11_3_2">#REF!</definedName>
    <definedName name="FKERES_IV_15_11_3_7" localSheetId="34">#REF!</definedName>
    <definedName name="FKERES_IV_15_11_3_7">#REF!</definedName>
    <definedName name="FKERES_IV_15_11_3_8" localSheetId="34">#REF!</definedName>
    <definedName name="FKERES_IV_15_11_3_8">#REF!</definedName>
    <definedName name="FKERES_IV_15_11_5" localSheetId="34">#REF!</definedName>
    <definedName name="FKERES_IV_15_11_5">#REF!</definedName>
    <definedName name="FKERES_IV_15_11_5_12" localSheetId="34">#REF!</definedName>
    <definedName name="FKERES_IV_15_11_5_12">#REF!</definedName>
    <definedName name="FKERES_IV_15_11_5_2" localSheetId="34">#REF!</definedName>
    <definedName name="FKERES_IV_15_11_5_2">#REF!</definedName>
    <definedName name="FKERES_IV_15_11_5_7" localSheetId="34">#REF!</definedName>
    <definedName name="FKERES_IV_15_11_5_7">#REF!</definedName>
    <definedName name="FKERES_IV_15_11_5_8" localSheetId="34">#REF!</definedName>
    <definedName name="FKERES_IV_15_11_5_8">#REF!</definedName>
    <definedName name="FKERES_IV_15_11_7" localSheetId="34">#REF!</definedName>
    <definedName name="FKERES_IV_15_11_7">#REF!</definedName>
    <definedName name="FKERES_IV_15_11_8" localSheetId="34">#REF!</definedName>
    <definedName name="FKERES_IV_15_11_8">#REF!</definedName>
    <definedName name="FKERES_IV_15_12" localSheetId="5">#REF!</definedName>
    <definedName name="FKERES_IV_15_12" localSheetId="34">#REF!</definedName>
    <definedName name="FKERES_IV_15_12">#REF!</definedName>
    <definedName name="FKERES_IV_15_12_1">NA()</definedName>
    <definedName name="FKERES_IV_15_12_10" localSheetId="34">#REF!</definedName>
    <definedName name="FKERES_IV_15_12_10" localSheetId="8">#REF!</definedName>
    <definedName name="FKERES_IV_15_12_10">#REF!</definedName>
    <definedName name="FKERES_IV_15_12_10_12" localSheetId="34">#REF!</definedName>
    <definedName name="FKERES_IV_15_12_10_12">#REF!</definedName>
    <definedName name="FKERES_IV_15_12_10_7" localSheetId="34">#REF!</definedName>
    <definedName name="FKERES_IV_15_12_10_7">#REF!</definedName>
    <definedName name="FKERES_IV_15_12_10_8" localSheetId="34">#REF!</definedName>
    <definedName name="FKERES_IV_15_12_10_8">#REF!</definedName>
    <definedName name="FKERES_IV_15_12_12" localSheetId="34">#REF!</definedName>
    <definedName name="FKERES_IV_15_12_12">#REF!</definedName>
    <definedName name="FKERES_IV_15_12_7" localSheetId="34">#REF!</definedName>
    <definedName name="FKERES_IV_15_12_7">#REF!</definedName>
    <definedName name="FKERES_IV_15_12_8" localSheetId="34">#REF!</definedName>
    <definedName name="FKERES_IV_15_12_8">#REF!</definedName>
    <definedName name="FKERES_IV_15_2" localSheetId="34">#REF!</definedName>
    <definedName name="FKERES_IV_15_2">#REF!</definedName>
    <definedName name="FKERES_IV_15_3" localSheetId="34">#REF!</definedName>
    <definedName name="FKERES_IV_15_3">#REF!</definedName>
    <definedName name="FKERES_IV_15_4" localSheetId="34">#REF!</definedName>
    <definedName name="FKERES_IV_15_4">#REF!</definedName>
    <definedName name="FKERES_IV_15_7" localSheetId="34">#REF!</definedName>
    <definedName name="FKERES_IV_15_7">#REF!</definedName>
    <definedName name="FKERES_IV_15_8" localSheetId="34">#REF!</definedName>
    <definedName name="FKERES_IV_15_8">#REF!</definedName>
    <definedName name="FKERES_IV_15_9" localSheetId="34">#REF!</definedName>
    <definedName name="FKERES_IV_15_9">#REF!</definedName>
    <definedName name="FKERES_IV_15_9_1">NA()</definedName>
    <definedName name="FKERES_IV_15_9_12" localSheetId="34">#REF!</definedName>
    <definedName name="FKERES_IV_15_9_12" localSheetId="8">#REF!</definedName>
    <definedName name="FKERES_IV_15_9_12">#REF!</definedName>
    <definedName name="FKERES_IV_15_9_7" localSheetId="34">#REF!</definedName>
    <definedName name="FKERES_IV_15_9_7">#REF!</definedName>
    <definedName name="FKERES_IV_15_9_8" localSheetId="34">#REF!</definedName>
    <definedName name="FKERES_IV_15_9_8">#REF!</definedName>
    <definedName name="FKERES_IV_2" localSheetId="5">#REF!</definedName>
    <definedName name="FKERES_IV_2" localSheetId="34">#REF!</definedName>
    <definedName name="FKERES_IV_2">#REF!</definedName>
    <definedName name="FKERES_IV_2_1" localSheetId="34">#REF!</definedName>
    <definedName name="FKERES_IV_2_1">#REF!</definedName>
    <definedName name="FKERES_IV_2_1_1" localSheetId="34">#REF!</definedName>
    <definedName name="FKERES_IV_2_1_1">#REF!</definedName>
    <definedName name="FKERES_IV_2_10" localSheetId="34">#REF!</definedName>
    <definedName name="FKERES_IV_2_10">#REF!</definedName>
    <definedName name="FKERES_IV_2_10_12" localSheetId="34">#REF!</definedName>
    <definedName name="FKERES_IV_2_10_12">#REF!</definedName>
    <definedName name="FKERES_IV_2_10_7" localSheetId="34">#REF!</definedName>
    <definedName name="FKERES_IV_2_10_7">#REF!</definedName>
    <definedName name="FKERES_IV_2_10_8" localSheetId="34">#REF!</definedName>
    <definedName name="FKERES_IV_2_10_8">#REF!</definedName>
    <definedName name="FKERES_IV_2_11" localSheetId="34">#REF!</definedName>
    <definedName name="FKERES_IV_2_11">#REF!</definedName>
    <definedName name="FKERES_IV_2_11_1" localSheetId="34">#REF!</definedName>
    <definedName name="FKERES_IV_2_11_1">#REF!</definedName>
    <definedName name="FKERES_IV_2_11_1_1" localSheetId="34">#REF!</definedName>
    <definedName name="FKERES_IV_2_11_1_1">#REF!</definedName>
    <definedName name="FKERES_IV_2_11_1_1_1">NA()</definedName>
    <definedName name="FKERES_IV_2_11_1_1_12" localSheetId="34">#REF!</definedName>
    <definedName name="FKERES_IV_2_11_1_1_12" localSheetId="8">#REF!</definedName>
    <definedName name="FKERES_IV_2_11_1_1_12">#REF!</definedName>
    <definedName name="FKERES_IV_2_11_1_1_2" localSheetId="34">#REF!</definedName>
    <definedName name="FKERES_IV_2_11_1_1_2">#REF!</definedName>
    <definedName name="FKERES_IV_2_11_1_1_7" localSheetId="34">#REF!</definedName>
    <definedName name="FKERES_IV_2_11_1_1_7">#REF!</definedName>
    <definedName name="FKERES_IV_2_11_1_1_8" localSheetId="34">#REF!</definedName>
    <definedName name="FKERES_IV_2_11_1_1_8">#REF!</definedName>
    <definedName name="FKERES_IV_2_11_1_12" localSheetId="34">#REF!</definedName>
    <definedName name="FKERES_IV_2_11_1_12">#REF!</definedName>
    <definedName name="FKERES_IV_2_11_1_2" localSheetId="34">#REF!</definedName>
    <definedName name="FKERES_IV_2_11_1_2">#REF!</definedName>
    <definedName name="FKERES_IV_2_11_1_7" localSheetId="34">#REF!</definedName>
    <definedName name="FKERES_IV_2_11_1_7">#REF!</definedName>
    <definedName name="FKERES_IV_2_11_1_8" localSheetId="34">#REF!</definedName>
    <definedName name="FKERES_IV_2_11_1_8">#REF!</definedName>
    <definedName name="FKERES_IV_2_11_12" localSheetId="34">#REF!</definedName>
    <definedName name="FKERES_IV_2_11_12">#REF!</definedName>
    <definedName name="FKERES_IV_2_11_3" localSheetId="34">#REF!</definedName>
    <definedName name="FKERES_IV_2_11_3">#REF!</definedName>
    <definedName name="FKERES_IV_2_11_3_12" localSheetId="34">#REF!</definedName>
    <definedName name="FKERES_IV_2_11_3_12">#REF!</definedName>
    <definedName name="FKERES_IV_2_11_3_2" localSheetId="34">#REF!</definedName>
    <definedName name="FKERES_IV_2_11_3_2">#REF!</definedName>
    <definedName name="FKERES_IV_2_11_3_7" localSheetId="34">#REF!</definedName>
    <definedName name="FKERES_IV_2_11_3_7">#REF!</definedName>
    <definedName name="FKERES_IV_2_11_3_8" localSheetId="34">#REF!</definedName>
    <definedName name="FKERES_IV_2_11_3_8">#REF!</definedName>
    <definedName name="FKERES_IV_2_11_5" localSheetId="34">#REF!</definedName>
    <definedName name="FKERES_IV_2_11_5">#REF!</definedName>
    <definedName name="FKERES_IV_2_11_5_12" localSheetId="34">#REF!</definedName>
    <definedName name="FKERES_IV_2_11_5_12">#REF!</definedName>
    <definedName name="FKERES_IV_2_11_5_2" localSheetId="34">#REF!</definedName>
    <definedName name="FKERES_IV_2_11_5_2">#REF!</definedName>
    <definedName name="FKERES_IV_2_11_5_7" localSheetId="34">#REF!</definedName>
    <definedName name="FKERES_IV_2_11_5_7">#REF!</definedName>
    <definedName name="FKERES_IV_2_11_5_8" localSheetId="34">#REF!</definedName>
    <definedName name="FKERES_IV_2_11_5_8">#REF!</definedName>
    <definedName name="FKERES_IV_2_11_7" localSheetId="34">#REF!</definedName>
    <definedName name="FKERES_IV_2_11_7">#REF!</definedName>
    <definedName name="FKERES_IV_2_11_8" localSheetId="34">#REF!</definedName>
    <definedName name="FKERES_IV_2_11_8">#REF!</definedName>
    <definedName name="FKERES_IV_2_12" localSheetId="34">#REF!</definedName>
    <definedName name="FKERES_IV_2_12">#REF!</definedName>
    <definedName name="FKERES_IV_2_2" localSheetId="34">#REF!</definedName>
    <definedName name="FKERES_IV_2_2">#REF!</definedName>
    <definedName name="FKERES_IV_2_3" localSheetId="34">#REF!</definedName>
    <definedName name="FKERES_IV_2_3">#REF!</definedName>
    <definedName name="FKERES_IV_2_4" localSheetId="34">#REF!</definedName>
    <definedName name="FKERES_IV_2_4">#REF!</definedName>
    <definedName name="FKERES_IV_2_7" localSheetId="34">#REF!</definedName>
    <definedName name="FKERES_IV_2_7">#REF!</definedName>
    <definedName name="FKERES_IV_2_8" localSheetId="34">#REF!</definedName>
    <definedName name="FKERES_IV_2_8">#REF!</definedName>
    <definedName name="FKERES_IV_20" localSheetId="5">#REF!</definedName>
    <definedName name="FKERES_IV_20" localSheetId="34">#REF!</definedName>
    <definedName name="FKERES_IV_20">#REF!</definedName>
    <definedName name="FKERES_IV_20_1" localSheetId="34">#REF!</definedName>
    <definedName name="FKERES_IV_20_1">#REF!</definedName>
    <definedName name="FKERES_IV_20_10" localSheetId="34">#REF!</definedName>
    <definedName name="FKERES_IV_20_10">#REF!</definedName>
    <definedName name="FKERES_IV_20_10_12" localSheetId="34">#REF!</definedName>
    <definedName name="FKERES_IV_20_10_12">#REF!</definedName>
    <definedName name="FKERES_IV_20_10_7" localSheetId="34">#REF!</definedName>
    <definedName name="FKERES_IV_20_10_7">#REF!</definedName>
    <definedName name="FKERES_IV_20_10_8" localSheetId="34">#REF!</definedName>
    <definedName name="FKERES_IV_20_10_8">#REF!</definedName>
    <definedName name="FKERES_IV_20_11" localSheetId="34">#REF!</definedName>
    <definedName name="FKERES_IV_20_11">#REF!</definedName>
    <definedName name="FKERES_IV_20_11_1" localSheetId="34">#REF!</definedName>
    <definedName name="FKERES_IV_20_11_1">#REF!</definedName>
    <definedName name="FKERES_IV_20_11_1_1" localSheetId="34">#REF!</definedName>
    <definedName name="FKERES_IV_20_11_1_1">#REF!</definedName>
    <definedName name="FKERES_IV_20_11_1_1_1">NA()</definedName>
    <definedName name="FKERES_IV_20_11_1_1_12" localSheetId="34">#REF!</definedName>
    <definedName name="FKERES_IV_20_11_1_1_12" localSheetId="8">#REF!</definedName>
    <definedName name="FKERES_IV_20_11_1_1_12">#REF!</definedName>
    <definedName name="FKERES_IV_20_11_1_1_2" localSheetId="34">#REF!</definedName>
    <definedName name="FKERES_IV_20_11_1_1_2">#REF!</definedName>
    <definedName name="FKERES_IV_20_11_1_1_7" localSheetId="34">#REF!</definedName>
    <definedName name="FKERES_IV_20_11_1_1_7">#REF!</definedName>
    <definedName name="FKERES_IV_20_11_1_1_8" localSheetId="34">#REF!</definedName>
    <definedName name="FKERES_IV_20_11_1_1_8">#REF!</definedName>
    <definedName name="FKERES_IV_20_11_1_12" localSheetId="34">#REF!</definedName>
    <definedName name="FKERES_IV_20_11_1_12">#REF!</definedName>
    <definedName name="FKERES_IV_20_11_1_2" localSheetId="34">#REF!</definedName>
    <definedName name="FKERES_IV_20_11_1_2">#REF!</definedName>
    <definedName name="FKERES_IV_20_11_1_7" localSheetId="34">#REF!</definedName>
    <definedName name="FKERES_IV_20_11_1_7">#REF!</definedName>
    <definedName name="FKERES_IV_20_11_1_8" localSheetId="34">#REF!</definedName>
    <definedName name="FKERES_IV_20_11_1_8">#REF!</definedName>
    <definedName name="FKERES_IV_20_11_12" localSheetId="34">#REF!</definedName>
    <definedName name="FKERES_IV_20_11_12">#REF!</definedName>
    <definedName name="FKERES_IV_20_11_3" localSheetId="34">#REF!</definedName>
    <definedName name="FKERES_IV_20_11_3">#REF!</definedName>
    <definedName name="FKERES_IV_20_11_3_12" localSheetId="34">#REF!</definedName>
    <definedName name="FKERES_IV_20_11_3_12">#REF!</definedName>
    <definedName name="FKERES_IV_20_11_3_2" localSheetId="34">#REF!</definedName>
    <definedName name="FKERES_IV_20_11_3_2">#REF!</definedName>
    <definedName name="FKERES_IV_20_11_3_7" localSheetId="34">#REF!</definedName>
    <definedName name="FKERES_IV_20_11_3_7">#REF!</definedName>
    <definedName name="FKERES_IV_20_11_3_8" localSheetId="34">#REF!</definedName>
    <definedName name="FKERES_IV_20_11_3_8">#REF!</definedName>
    <definedName name="FKERES_IV_20_11_5" localSheetId="34">#REF!</definedName>
    <definedName name="FKERES_IV_20_11_5">#REF!</definedName>
    <definedName name="FKERES_IV_20_11_5_12" localSheetId="34">#REF!</definedName>
    <definedName name="FKERES_IV_20_11_5_12">#REF!</definedName>
    <definedName name="FKERES_IV_20_11_5_2" localSheetId="34">#REF!</definedName>
    <definedName name="FKERES_IV_20_11_5_2">#REF!</definedName>
    <definedName name="FKERES_IV_20_11_5_7" localSheetId="34">#REF!</definedName>
    <definedName name="FKERES_IV_20_11_5_7">#REF!</definedName>
    <definedName name="FKERES_IV_20_11_5_8" localSheetId="34">#REF!</definedName>
    <definedName name="FKERES_IV_20_11_5_8">#REF!</definedName>
    <definedName name="FKERES_IV_20_11_7" localSheetId="34">#REF!</definedName>
    <definedName name="FKERES_IV_20_11_7">#REF!</definedName>
    <definedName name="FKERES_IV_20_11_8" localSheetId="34">#REF!</definedName>
    <definedName name="FKERES_IV_20_11_8">#REF!</definedName>
    <definedName name="FKERES_IV_20_12" localSheetId="5">#REF!</definedName>
    <definedName name="FKERES_IV_20_12" localSheetId="34">#REF!</definedName>
    <definedName name="FKERES_IV_20_12">#REF!</definedName>
    <definedName name="FKERES_IV_20_12_1">NA()</definedName>
    <definedName name="FKERES_IV_20_12_10" localSheetId="34">#REF!</definedName>
    <definedName name="FKERES_IV_20_12_10" localSheetId="8">#REF!</definedName>
    <definedName name="FKERES_IV_20_12_10">#REF!</definedName>
    <definedName name="FKERES_IV_20_12_10_12" localSheetId="34">#REF!</definedName>
    <definedName name="FKERES_IV_20_12_10_12">#REF!</definedName>
    <definedName name="FKERES_IV_20_12_10_7" localSheetId="34">#REF!</definedName>
    <definedName name="FKERES_IV_20_12_10_7">#REF!</definedName>
    <definedName name="FKERES_IV_20_12_10_8" localSheetId="34">#REF!</definedName>
    <definedName name="FKERES_IV_20_12_10_8">#REF!</definedName>
    <definedName name="FKERES_IV_20_12_12" localSheetId="34">#REF!</definedName>
    <definedName name="FKERES_IV_20_12_12">#REF!</definedName>
    <definedName name="FKERES_IV_20_12_7" localSheetId="34">#REF!</definedName>
    <definedName name="FKERES_IV_20_12_7">#REF!</definedName>
    <definedName name="FKERES_IV_20_12_8" localSheetId="34">#REF!</definedName>
    <definedName name="FKERES_IV_20_12_8">#REF!</definedName>
    <definedName name="FKERES_IV_20_2" localSheetId="34">#REF!</definedName>
    <definedName name="FKERES_IV_20_2">#REF!</definedName>
    <definedName name="FKERES_IV_20_3" localSheetId="34">#REF!</definedName>
    <definedName name="FKERES_IV_20_3">#REF!</definedName>
    <definedName name="FKERES_IV_20_4" localSheetId="34">#REF!</definedName>
    <definedName name="FKERES_IV_20_4">#REF!</definedName>
    <definedName name="FKERES_IV_20_7" localSheetId="34">#REF!</definedName>
    <definedName name="FKERES_IV_20_7">#REF!</definedName>
    <definedName name="FKERES_IV_20_8" localSheetId="34">#REF!</definedName>
    <definedName name="FKERES_IV_20_8">#REF!</definedName>
    <definedName name="FKERES_IV_20_9" localSheetId="34">#REF!</definedName>
    <definedName name="FKERES_IV_20_9">#REF!</definedName>
    <definedName name="FKERES_IV_20_9_1">NA()</definedName>
    <definedName name="FKERES_IV_20_9_12" localSheetId="34">#REF!</definedName>
    <definedName name="FKERES_IV_20_9_12" localSheetId="8">#REF!</definedName>
    <definedName name="FKERES_IV_20_9_12">#REF!</definedName>
    <definedName name="FKERES_IV_20_9_7" localSheetId="34">#REF!</definedName>
    <definedName name="FKERES_IV_20_9_7">#REF!</definedName>
    <definedName name="FKERES_IV_20_9_8" localSheetId="34">#REF!</definedName>
    <definedName name="FKERES_IV_20_9_8">#REF!</definedName>
    <definedName name="FKERES_IV_24" localSheetId="5">#REF!</definedName>
    <definedName name="FKERES_IV_24" localSheetId="34">#REF!</definedName>
    <definedName name="FKERES_IV_24">#REF!</definedName>
    <definedName name="FKERES_IV_24_1" localSheetId="34">#REF!</definedName>
    <definedName name="FKERES_IV_24_1">#REF!</definedName>
    <definedName name="FKERES_IV_24_10" localSheetId="34">#REF!</definedName>
    <definedName name="FKERES_IV_24_10">#REF!</definedName>
    <definedName name="FKERES_IV_24_10_12" localSheetId="34">#REF!</definedName>
    <definedName name="FKERES_IV_24_10_12">#REF!</definedName>
    <definedName name="FKERES_IV_24_10_7" localSheetId="34">#REF!</definedName>
    <definedName name="FKERES_IV_24_10_7">#REF!</definedName>
    <definedName name="FKERES_IV_24_10_8" localSheetId="34">#REF!</definedName>
    <definedName name="FKERES_IV_24_10_8">#REF!</definedName>
    <definedName name="FKERES_IV_24_11" localSheetId="34">#REF!</definedName>
    <definedName name="FKERES_IV_24_11">#REF!</definedName>
    <definedName name="FKERES_IV_24_11_1" localSheetId="34">#REF!</definedName>
    <definedName name="FKERES_IV_24_11_1">#REF!</definedName>
    <definedName name="FKERES_IV_24_11_1_1" localSheetId="34">#REF!</definedName>
    <definedName name="FKERES_IV_24_11_1_1">#REF!</definedName>
    <definedName name="FKERES_IV_24_11_1_1_1">NA()</definedName>
    <definedName name="FKERES_IV_24_11_1_1_12" localSheetId="34">#REF!</definedName>
    <definedName name="FKERES_IV_24_11_1_1_12" localSheetId="8">#REF!</definedName>
    <definedName name="FKERES_IV_24_11_1_1_12">#REF!</definedName>
    <definedName name="FKERES_IV_24_11_1_1_2" localSheetId="34">#REF!</definedName>
    <definedName name="FKERES_IV_24_11_1_1_2">#REF!</definedName>
    <definedName name="FKERES_IV_24_11_1_1_7" localSheetId="34">#REF!</definedName>
    <definedName name="FKERES_IV_24_11_1_1_7">#REF!</definedName>
    <definedName name="FKERES_IV_24_11_1_1_8" localSheetId="34">#REF!</definedName>
    <definedName name="FKERES_IV_24_11_1_1_8">#REF!</definedName>
    <definedName name="FKERES_IV_24_11_1_12" localSheetId="34">#REF!</definedName>
    <definedName name="FKERES_IV_24_11_1_12">#REF!</definedName>
    <definedName name="FKERES_IV_24_11_1_2" localSheetId="34">#REF!</definedName>
    <definedName name="FKERES_IV_24_11_1_2">#REF!</definedName>
    <definedName name="FKERES_IV_24_11_1_7" localSheetId="34">#REF!</definedName>
    <definedName name="FKERES_IV_24_11_1_7">#REF!</definedName>
    <definedName name="FKERES_IV_24_11_1_8" localSheetId="34">#REF!</definedName>
    <definedName name="FKERES_IV_24_11_1_8">#REF!</definedName>
    <definedName name="FKERES_IV_24_11_12" localSheetId="34">#REF!</definedName>
    <definedName name="FKERES_IV_24_11_12">#REF!</definedName>
    <definedName name="FKERES_IV_24_11_3" localSheetId="34">#REF!</definedName>
    <definedName name="FKERES_IV_24_11_3">#REF!</definedName>
    <definedName name="FKERES_IV_24_11_3_12" localSheetId="34">#REF!</definedName>
    <definedName name="FKERES_IV_24_11_3_12">#REF!</definedName>
    <definedName name="FKERES_IV_24_11_3_2" localSheetId="34">#REF!</definedName>
    <definedName name="FKERES_IV_24_11_3_2">#REF!</definedName>
    <definedName name="FKERES_IV_24_11_3_7" localSheetId="34">#REF!</definedName>
    <definedName name="FKERES_IV_24_11_3_7">#REF!</definedName>
    <definedName name="FKERES_IV_24_11_3_8" localSheetId="34">#REF!</definedName>
    <definedName name="FKERES_IV_24_11_3_8">#REF!</definedName>
    <definedName name="FKERES_IV_24_11_5" localSheetId="34">#REF!</definedName>
    <definedName name="FKERES_IV_24_11_5">#REF!</definedName>
    <definedName name="FKERES_IV_24_11_5_12" localSheetId="34">#REF!</definedName>
    <definedName name="FKERES_IV_24_11_5_12">#REF!</definedName>
    <definedName name="FKERES_IV_24_11_5_2" localSheetId="34">#REF!</definedName>
    <definedName name="FKERES_IV_24_11_5_2">#REF!</definedName>
    <definedName name="FKERES_IV_24_11_5_7" localSheetId="34">#REF!</definedName>
    <definedName name="FKERES_IV_24_11_5_7">#REF!</definedName>
    <definedName name="FKERES_IV_24_11_5_8" localSheetId="34">#REF!</definedName>
    <definedName name="FKERES_IV_24_11_5_8">#REF!</definedName>
    <definedName name="FKERES_IV_24_11_7" localSheetId="34">#REF!</definedName>
    <definedName name="FKERES_IV_24_11_7">#REF!</definedName>
    <definedName name="FKERES_IV_24_11_8" localSheetId="34">#REF!</definedName>
    <definedName name="FKERES_IV_24_11_8">#REF!</definedName>
    <definedName name="FKERES_IV_24_12" localSheetId="5">#REF!</definedName>
    <definedName name="FKERES_IV_24_12" localSheetId="34">#REF!</definedName>
    <definedName name="FKERES_IV_24_12">#REF!</definedName>
    <definedName name="FKERES_IV_24_12_1">NA()</definedName>
    <definedName name="FKERES_IV_24_12_10" localSheetId="34">#REF!</definedName>
    <definedName name="FKERES_IV_24_12_10" localSheetId="8">#REF!</definedName>
    <definedName name="FKERES_IV_24_12_10">#REF!</definedName>
    <definedName name="FKERES_IV_24_12_10_12" localSheetId="34">#REF!</definedName>
    <definedName name="FKERES_IV_24_12_10_12">#REF!</definedName>
    <definedName name="FKERES_IV_24_12_10_7" localSheetId="34">#REF!</definedName>
    <definedName name="FKERES_IV_24_12_10_7">#REF!</definedName>
    <definedName name="FKERES_IV_24_12_10_8" localSheetId="34">#REF!</definedName>
    <definedName name="FKERES_IV_24_12_10_8">#REF!</definedName>
    <definedName name="FKERES_IV_24_12_12" localSheetId="34">#REF!</definedName>
    <definedName name="FKERES_IV_24_12_12">#REF!</definedName>
    <definedName name="FKERES_IV_24_12_7" localSheetId="34">#REF!</definedName>
    <definedName name="FKERES_IV_24_12_7">#REF!</definedName>
    <definedName name="FKERES_IV_24_12_8" localSheetId="34">#REF!</definedName>
    <definedName name="FKERES_IV_24_12_8">#REF!</definedName>
    <definedName name="FKERES_IV_24_2" localSheetId="34">#REF!</definedName>
    <definedName name="FKERES_IV_24_2">#REF!</definedName>
    <definedName name="FKERES_IV_24_3" localSheetId="34">#REF!</definedName>
    <definedName name="FKERES_IV_24_3">#REF!</definedName>
    <definedName name="FKERES_IV_24_4" localSheetId="34">#REF!</definedName>
    <definedName name="FKERES_IV_24_4">#REF!</definedName>
    <definedName name="FKERES_IV_24_7" localSheetId="34">#REF!</definedName>
    <definedName name="FKERES_IV_24_7">#REF!</definedName>
    <definedName name="FKERES_IV_24_8" localSheetId="34">#REF!</definedName>
    <definedName name="FKERES_IV_24_8">#REF!</definedName>
    <definedName name="FKERES_IV_24_9" localSheetId="34">#REF!</definedName>
    <definedName name="FKERES_IV_24_9">#REF!</definedName>
    <definedName name="FKERES_IV_24_9_1">NA()</definedName>
    <definedName name="FKERES_IV_24_9_12" localSheetId="34">#REF!</definedName>
    <definedName name="FKERES_IV_24_9_12" localSheetId="8">#REF!</definedName>
    <definedName name="FKERES_IV_24_9_12">#REF!</definedName>
    <definedName name="FKERES_IV_24_9_7" localSheetId="34">#REF!</definedName>
    <definedName name="FKERES_IV_24_9_7">#REF!</definedName>
    <definedName name="FKERES_IV_24_9_8" localSheetId="34">#REF!</definedName>
    <definedName name="FKERES_IV_24_9_8">#REF!</definedName>
    <definedName name="FKERES_IV_3" localSheetId="34">#REF!</definedName>
    <definedName name="FKERES_IV_3">#REF!</definedName>
    <definedName name="FKERES_IV_4" localSheetId="34">#REF!</definedName>
    <definedName name="FKERES_IV_4">#REF!</definedName>
    <definedName name="FKERES_IV_7" localSheetId="34">#REF!</definedName>
    <definedName name="FKERES_IV_7">#REF!</definedName>
    <definedName name="FKERES_IV_8" localSheetId="34">#REF!</definedName>
    <definedName name="FKERES_IV_8">#REF!</definedName>
    <definedName name="FKERES_IV_9" localSheetId="34">#REF!</definedName>
    <definedName name="FKERES_IV_9">#REF!</definedName>
    <definedName name="FKERES_IV_9_1">NA()</definedName>
    <definedName name="FKERES_IV_9_12" localSheetId="34">#REF!</definedName>
    <definedName name="FKERES_IV_9_12" localSheetId="8">#REF!</definedName>
    <definedName name="FKERES_IV_9_12">#REF!</definedName>
    <definedName name="FKERES_IV_9_7" localSheetId="34">#REF!</definedName>
    <definedName name="FKERES_IV_9_7">#REF!</definedName>
    <definedName name="FKERES_IV_9_8" localSheetId="34">#REF!</definedName>
    <definedName name="FKERES_IV_9_8">#REF!</definedName>
    <definedName name="fkeres66" localSheetId="34">#REF!</definedName>
    <definedName name="fkeres66">#REF!</definedName>
    <definedName name="foot_244_place" localSheetId="8">'Szoc.rász.'!#REF!</definedName>
    <definedName name="hitel" localSheetId="34">#REF!</definedName>
    <definedName name="hitel" localSheetId="8">#REF!</definedName>
    <definedName name="hitel">#REF!</definedName>
    <definedName name="hitel_12" localSheetId="34">#REF!</definedName>
    <definedName name="hitel_12">#REF!</definedName>
    <definedName name="hitel_4" localSheetId="34">#REF!</definedName>
    <definedName name="hitel_4">#REF!</definedName>
    <definedName name="hitel_7" localSheetId="34">#REF!</definedName>
    <definedName name="hitel_7">#REF!</definedName>
    <definedName name="hitel_8" localSheetId="34">#REF!</definedName>
    <definedName name="hitel_8">#REF!</definedName>
    <definedName name="hiteltbl" localSheetId="34">#REF!</definedName>
    <definedName name="hiteltbl">#REF!</definedName>
    <definedName name="hiteltbl_12" localSheetId="34">#REF!</definedName>
    <definedName name="hiteltbl_12">#REF!</definedName>
    <definedName name="hiteltbl_4" localSheetId="34">#REF!</definedName>
    <definedName name="hiteltbl_4">#REF!</definedName>
    <definedName name="hiteltbl_7" localSheetId="34">#REF!</definedName>
    <definedName name="hiteltbl_7">#REF!</definedName>
    <definedName name="hiteltbl_8" localSheetId="34">#REF!</definedName>
    <definedName name="hiteltbl_8">#REF!</definedName>
    <definedName name="ica" localSheetId="34">#REF!</definedName>
    <definedName name="ica">#REF!</definedName>
    <definedName name="j" localSheetId="34">#REF!</definedName>
    <definedName name="j">#REF!</definedName>
    <definedName name="k" localSheetId="5">#REF!</definedName>
    <definedName name="k" localSheetId="34">#REF!</definedName>
    <definedName name="k">#REF!</definedName>
    <definedName name="k_1" localSheetId="5">#REF!</definedName>
    <definedName name="k_1" localSheetId="34">#REF!</definedName>
    <definedName name="k_1">#REF!</definedName>
    <definedName name="k_1_1" localSheetId="34">#REF!</definedName>
    <definedName name="k_1_1">#REF!</definedName>
    <definedName name="k_1_1_1">NA()</definedName>
    <definedName name="k_1_1_12" localSheetId="34">#REF!</definedName>
    <definedName name="k_1_1_12" localSheetId="8">#REF!</definedName>
    <definedName name="k_1_1_12">#REF!</definedName>
    <definedName name="k_1_1_7" localSheetId="34">#REF!</definedName>
    <definedName name="k_1_1_7">#REF!</definedName>
    <definedName name="k_1_1_8" localSheetId="34">#REF!</definedName>
    <definedName name="k_1_1_8">#REF!</definedName>
    <definedName name="k_1_10" localSheetId="34">#REF!</definedName>
    <definedName name="k_1_10">#REF!</definedName>
    <definedName name="k_1_10_12" localSheetId="34">#REF!</definedName>
    <definedName name="k_1_10_12">#REF!</definedName>
    <definedName name="k_1_10_7" localSheetId="34">#REF!</definedName>
    <definedName name="k_1_10_7">#REF!</definedName>
    <definedName name="k_1_10_8" localSheetId="34">#REF!</definedName>
    <definedName name="k_1_10_8">#REF!</definedName>
    <definedName name="k_1_11" localSheetId="34">#REF!</definedName>
    <definedName name="k_1_11">#REF!</definedName>
    <definedName name="k_1_11_1" localSheetId="34">#REF!</definedName>
    <definedName name="k_1_11_1">#REF!</definedName>
    <definedName name="k_1_11_1_1" localSheetId="34">#REF!</definedName>
    <definedName name="k_1_11_1_1">#REF!</definedName>
    <definedName name="k_1_11_1_1_1">NA()</definedName>
    <definedName name="k_1_11_1_1_12" localSheetId="34">#REF!</definedName>
    <definedName name="k_1_11_1_1_12" localSheetId="8">#REF!</definedName>
    <definedName name="k_1_11_1_1_12">#REF!</definedName>
    <definedName name="k_1_11_1_1_2" localSheetId="34">#REF!</definedName>
    <definedName name="k_1_11_1_1_2">#REF!</definedName>
    <definedName name="k_1_11_1_1_7" localSheetId="34">#REF!</definedName>
    <definedName name="k_1_11_1_1_7">#REF!</definedName>
    <definedName name="k_1_11_1_1_8" localSheetId="34">#REF!</definedName>
    <definedName name="k_1_11_1_1_8">#REF!</definedName>
    <definedName name="k_1_11_1_12" localSheetId="34">#REF!</definedName>
    <definedName name="k_1_11_1_12">#REF!</definedName>
    <definedName name="k_1_11_1_2" localSheetId="34">#REF!</definedName>
    <definedName name="k_1_11_1_2">#REF!</definedName>
    <definedName name="k_1_11_1_7" localSheetId="34">#REF!</definedName>
    <definedName name="k_1_11_1_7">#REF!</definedName>
    <definedName name="k_1_11_1_8" localSheetId="34">#REF!</definedName>
    <definedName name="k_1_11_1_8">#REF!</definedName>
    <definedName name="k_1_11_12" localSheetId="34">#REF!</definedName>
    <definedName name="k_1_11_12">#REF!</definedName>
    <definedName name="k_1_11_3" localSheetId="34">#REF!</definedName>
    <definedName name="k_1_11_3">#REF!</definedName>
    <definedName name="k_1_11_3_12" localSheetId="34">#REF!</definedName>
    <definedName name="k_1_11_3_12">#REF!</definedName>
    <definedName name="k_1_11_3_2" localSheetId="34">#REF!</definedName>
    <definedName name="k_1_11_3_2">#REF!</definedName>
    <definedName name="k_1_11_3_7" localSheetId="34">#REF!</definedName>
    <definedName name="k_1_11_3_7">#REF!</definedName>
    <definedName name="k_1_11_3_8" localSheetId="34">#REF!</definedName>
    <definedName name="k_1_11_3_8">#REF!</definedName>
    <definedName name="k_1_11_5" localSheetId="34">#REF!</definedName>
    <definedName name="k_1_11_5">#REF!</definedName>
    <definedName name="k_1_11_5_12" localSheetId="34">#REF!</definedName>
    <definedName name="k_1_11_5_12">#REF!</definedName>
    <definedName name="k_1_11_5_2" localSheetId="34">#REF!</definedName>
    <definedName name="k_1_11_5_2">#REF!</definedName>
    <definedName name="k_1_11_5_7" localSheetId="34">#REF!</definedName>
    <definedName name="k_1_11_5_7">#REF!</definedName>
    <definedName name="k_1_11_5_8" localSheetId="34">#REF!</definedName>
    <definedName name="k_1_11_5_8">#REF!</definedName>
    <definedName name="k_1_11_7" localSheetId="34">#REF!</definedName>
    <definedName name="k_1_11_7">#REF!</definedName>
    <definedName name="k_1_11_8" localSheetId="34">#REF!</definedName>
    <definedName name="k_1_11_8">#REF!</definedName>
    <definedName name="k_1_12" localSheetId="5">#REF!</definedName>
    <definedName name="k_1_12" localSheetId="34">#REF!</definedName>
    <definedName name="k_1_12">#REF!</definedName>
    <definedName name="k_1_12_1">NA()</definedName>
    <definedName name="k_1_12_10" localSheetId="34">#REF!</definedName>
    <definedName name="k_1_12_10" localSheetId="8">#REF!</definedName>
    <definedName name="k_1_12_10">#REF!</definedName>
    <definedName name="k_1_12_10_12" localSheetId="34">#REF!</definedName>
    <definedName name="k_1_12_10_12">#REF!</definedName>
    <definedName name="k_1_12_10_7" localSheetId="34">#REF!</definedName>
    <definedName name="k_1_12_10_7">#REF!</definedName>
    <definedName name="k_1_12_10_8" localSheetId="34">#REF!</definedName>
    <definedName name="k_1_12_10_8">#REF!</definedName>
    <definedName name="k_1_12_12" localSheetId="34">#REF!</definedName>
    <definedName name="k_1_12_12">#REF!</definedName>
    <definedName name="k_1_12_7" localSheetId="34">#REF!</definedName>
    <definedName name="k_1_12_7">#REF!</definedName>
    <definedName name="k_1_12_8" localSheetId="34">#REF!</definedName>
    <definedName name="k_1_12_8">#REF!</definedName>
    <definedName name="k_1_2" localSheetId="34">#REF!</definedName>
    <definedName name="k_1_2">#REF!</definedName>
    <definedName name="k_1_3" localSheetId="34">#REF!</definedName>
    <definedName name="k_1_3">#REF!</definedName>
    <definedName name="k_1_4" localSheetId="34">#REF!</definedName>
    <definedName name="k_1_4">#REF!</definedName>
    <definedName name="k_1_7" localSheetId="34">#REF!</definedName>
    <definedName name="k_1_7">#REF!</definedName>
    <definedName name="k_1_8" localSheetId="34">#REF!</definedName>
    <definedName name="k_1_8">#REF!</definedName>
    <definedName name="k_1_9" localSheetId="34">#REF!</definedName>
    <definedName name="k_1_9">#REF!</definedName>
    <definedName name="k_1_9_1">NA()</definedName>
    <definedName name="k_1_9_12" localSheetId="34">#REF!</definedName>
    <definedName name="k_1_9_12" localSheetId="8">#REF!</definedName>
    <definedName name="k_1_9_12">#REF!</definedName>
    <definedName name="k_1_9_7" localSheetId="34">#REF!</definedName>
    <definedName name="k_1_9_7">#REF!</definedName>
    <definedName name="k_1_9_8" localSheetId="34">#REF!</definedName>
    <definedName name="k_1_9_8">#REF!</definedName>
    <definedName name="k_10" localSheetId="34">#REF!</definedName>
    <definedName name="k_10">#REF!</definedName>
    <definedName name="k_10_1" localSheetId="34">#REF!</definedName>
    <definedName name="k_10_1">#REF!</definedName>
    <definedName name="k_10_1_1">NA()</definedName>
    <definedName name="k_10_1_12" localSheetId="34">#REF!</definedName>
    <definedName name="k_10_1_12" localSheetId="8">#REF!</definedName>
    <definedName name="k_10_1_12">#REF!</definedName>
    <definedName name="k_10_1_7" localSheetId="34">#REF!</definedName>
    <definedName name="k_10_1_7">#REF!</definedName>
    <definedName name="k_10_1_8" localSheetId="34">#REF!</definedName>
    <definedName name="k_10_1_8">#REF!</definedName>
    <definedName name="k_10_10" localSheetId="34">#REF!</definedName>
    <definedName name="k_10_10">#REF!</definedName>
    <definedName name="k_10_10_12" localSheetId="34">#REF!</definedName>
    <definedName name="k_10_10_12">#REF!</definedName>
    <definedName name="k_10_10_7" localSheetId="34">#REF!</definedName>
    <definedName name="k_10_10_7">#REF!</definedName>
    <definedName name="k_10_10_8" localSheetId="34">#REF!</definedName>
    <definedName name="k_10_10_8">#REF!</definedName>
    <definedName name="k_10_12" localSheetId="34">#REF!</definedName>
    <definedName name="k_10_12">#REF!</definedName>
    <definedName name="k_10_7" localSheetId="34">#REF!</definedName>
    <definedName name="k_10_7">#REF!</definedName>
    <definedName name="k_10_8" localSheetId="34">#REF!</definedName>
    <definedName name="k_10_8">#REF!</definedName>
    <definedName name="k_11" localSheetId="34">#REF!</definedName>
    <definedName name="k_11">#REF!</definedName>
    <definedName name="k_11_1" localSheetId="34">#REF!</definedName>
    <definedName name="k_11_1">#REF!</definedName>
    <definedName name="k_11_1_1" localSheetId="34">#REF!</definedName>
    <definedName name="k_11_1_1">#REF!</definedName>
    <definedName name="k_11_1_1_1">NA()</definedName>
    <definedName name="k_11_1_1_12" localSheetId="34">#REF!</definedName>
    <definedName name="k_11_1_1_12" localSheetId="8">#REF!</definedName>
    <definedName name="k_11_1_1_12">#REF!</definedName>
    <definedName name="k_11_1_1_2" localSheetId="34">#REF!</definedName>
    <definedName name="k_11_1_1_2">#REF!</definedName>
    <definedName name="k_11_1_1_7" localSheetId="34">#REF!</definedName>
    <definedName name="k_11_1_1_7">#REF!</definedName>
    <definedName name="k_11_1_1_8" localSheetId="34">#REF!</definedName>
    <definedName name="k_11_1_1_8">#REF!</definedName>
    <definedName name="k_11_1_12" localSheetId="34">#REF!</definedName>
    <definedName name="k_11_1_12">#REF!</definedName>
    <definedName name="k_11_1_2" localSheetId="34">#REF!</definedName>
    <definedName name="k_11_1_2">#REF!</definedName>
    <definedName name="k_11_1_7" localSheetId="34">#REF!</definedName>
    <definedName name="k_11_1_7">#REF!</definedName>
    <definedName name="k_11_1_8" localSheetId="34">#REF!</definedName>
    <definedName name="k_11_1_8">#REF!</definedName>
    <definedName name="k_11_12" localSheetId="34">#REF!</definedName>
    <definedName name="k_11_12">#REF!</definedName>
    <definedName name="k_11_3" localSheetId="34">#REF!</definedName>
    <definedName name="k_11_3">#REF!</definedName>
    <definedName name="k_11_3_12" localSheetId="34">#REF!</definedName>
    <definedName name="k_11_3_12">#REF!</definedName>
    <definedName name="k_11_3_2" localSheetId="34">#REF!</definedName>
    <definedName name="k_11_3_2">#REF!</definedName>
    <definedName name="k_11_3_7" localSheetId="34">#REF!</definedName>
    <definedName name="k_11_3_7">#REF!</definedName>
    <definedName name="k_11_3_8" localSheetId="34">#REF!</definedName>
    <definedName name="k_11_3_8">#REF!</definedName>
    <definedName name="k_11_5" localSheetId="34">#REF!</definedName>
    <definedName name="k_11_5">#REF!</definedName>
    <definedName name="k_11_5_12" localSheetId="34">#REF!</definedName>
    <definedName name="k_11_5_12">#REF!</definedName>
    <definedName name="k_11_5_2" localSheetId="34">#REF!</definedName>
    <definedName name="k_11_5_2">#REF!</definedName>
    <definedName name="k_11_5_7" localSheetId="34">#REF!</definedName>
    <definedName name="k_11_5_7">#REF!</definedName>
    <definedName name="k_11_5_8" localSheetId="34">#REF!</definedName>
    <definedName name="k_11_5_8">#REF!</definedName>
    <definedName name="k_11_7" localSheetId="34">#REF!</definedName>
    <definedName name="k_11_7">#REF!</definedName>
    <definedName name="k_11_8" localSheetId="34">#REF!</definedName>
    <definedName name="k_11_8">#REF!</definedName>
    <definedName name="k_12" localSheetId="5">#REF!</definedName>
    <definedName name="k_12" localSheetId="34">#REF!</definedName>
    <definedName name="k_12">#REF!</definedName>
    <definedName name="k_12_1">NA()</definedName>
    <definedName name="k_12_10" localSheetId="34">#REF!</definedName>
    <definedName name="k_12_10" localSheetId="8">#REF!</definedName>
    <definedName name="k_12_10">#REF!</definedName>
    <definedName name="k_12_10_12" localSheetId="34">#REF!</definedName>
    <definedName name="k_12_10_12">#REF!</definedName>
    <definedName name="k_12_10_7" localSheetId="34">#REF!</definedName>
    <definedName name="k_12_10_7">#REF!</definedName>
    <definedName name="k_12_10_8" localSheetId="34">#REF!</definedName>
    <definedName name="k_12_10_8">#REF!</definedName>
    <definedName name="k_12_12" localSheetId="34">#REF!</definedName>
    <definedName name="k_12_12">#REF!</definedName>
    <definedName name="k_12_7" localSheetId="34">#REF!</definedName>
    <definedName name="k_12_7">#REF!</definedName>
    <definedName name="k_12_8" localSheetId="34">#REF!</definedName>
    <definedName name="k_12_8">#REF!</definedName>
    <definedName name="k_2" localSheetId="5">#REF!</definedName>
    <definedName name="k_2" localSheetId="34">#REF!</definedName>
    <definedName name="k_2">#REF!</definedName>
    <definedName name="k_2_1" localSheetId="34">#REF!</definedName>
    <definedName name="k_2_1">#REF!</definedName>
    <definedName name="k_2_1_1" localSheetId="34">#REF!</definedName>
    <definedName name="k_2_1_1">#REF!</definedName>
    <definedName name="k_2_10" localSheetId="34">#REF!</definedName>
    <definedName name="k_2_10">#REF!</definedName>
    <definedName name="k_2_10_12" localSheetId="34">#REF!</definedName>
    <definedName name="k_2_10_12">#REF!</definedName>
    <definedName name="k_2_10_7" localSheetId="34">#REF!</definedName>
    <definedName name="k_2_10_7">#REF!</definedName>
    <definedName name="k_2_10_8" localSheetId="34">#REF!</definedName>
    <definedName name="k_2_10_8">#REF!</definedName>
    <definedName name="k_2_11" localSheetId="34">#REF!</definedName>
    <definedName name="k_2_11">#REF!</definedName>
    <definedName name="k_2_11_1" localSheetId="34">#REF!</definedName>
    <definedName name="k_2_11_1">#REF!</definedName>
    <definedName name="k_2_11_1_1" localSheetId="34">#REF!</definedName>
    <definedName name="k_2_11_1_1">#REF!</definedName>
    <definedName name="k_2_11_1_1_1">NA()</definedName>
    <definedName name="k_2_11_1_1_12" localSheetId="34">#REF!</definedName>
    <definedName name="k_2_11_1_1_12" localSheetId="8">#REF!</definedName>
    <definedName name="k_2_11_1_1_12">#REF!</definedName>
    <definedName name="k_2_11_1_1_2" localSheetId="34">#REF!</definedName>
    <definedName name="k_2_11_1_1_2">#REF!</definedName>
    <definedName name="k_2_11_1_1_7" localSheetId="34">#REF!</definedName>
    <definedName name="k_2_11_1_1_7">#REF!</definedName>
    <definedName name="k_2_11_1_1_8" localSheetId="34">#REF!</definedName>
    <definedName name="k_2_11_1_1_8">#REF!</definedName>
    <definedName name="k_2_11_1_12" localSheetId="34">#REF!</definedName>
    <definedName name="k_2_11_1_12">#REF!</definedName>
    <definedName name="k_2_11_1_2" localSheetId="34">#REF!</definedName>
    <definedName name="k_2_11_1_2">#REF!</definedName>
    <definedName name="k_2_11_1_7" localSheetId="34">#REF!</definedName>
    <definedName name="k_2_11_1_7">#REF!</definedName>
    <definedName name="k_2_11_1_8" localSheetId="34">#REF!</definedName>
    <definedName name="k_2_11_1_8">#REF!</definedName>
    <definedName name="k_2_11_12" localSheetId="34">#REF!</definedName>
    <definedName name="k_2_11_12">#REF!</definedName>
    <definedName name="k_2_11_3" localSheetId="34">#REF!</definedName>
    <definedName name="k_2_11_3">#REF!</definedName>
    <definedName name="k_2_11_3_12" localSheetId="34">#REF!</definedName>
    <definedName name="k_2_11_3_12">#REF!</definedName>
    <definedName name="k_2_11_3_2" localSheetId="34">#REF!</definedName>
    <definedName name="k_2_11_3_2">#REF!</definedName>
    <definedName name="k_2_11_3_7" localSheetId="34">#REF!</definedName>
    <definedName name="k_2_11_3_7">#REF!</definedName>
    <definedName name="k_2_11_3_8" localSheetId="34">#REF!</definedName>
    <definedName name="k_2_11_3_8">#REF!</definedName>
    <definedName name="k_2_11_5" localSheetId="34">#REF!</definedName>
    <definedName name="k_2_11_5">#REF!</definedName>
    <definedName name="k_2_11_5_12" localSheetId="34">#REF!</definedName>
    <definedName name="k_2_11_5_12">#REF!</definedName>
    <definedName name="k_2_11_5_2" localSheetId="34">#REF!</definedName>
    <definedName name="k_2_11_5_2">#REF!</definedName>
    <definedName name="k_2_11_5_7" localSheetId="34">#REF!</definedName>
    <definedName name="k_2_11_5_7">#REF!</definedName>
    <definedName name="k_2_11_5_8" localSheetId="34">#REF!</definedName>
    <definedName name="k_2_11_5_8">#REF!</definedName>
    <definedName name="k_2_11_7" localSheetId="34">#REF!</definedName>
    <definedName name="k_2_11_7">#REF!</definedName>
    <definedName name="k_2_11_8" localSheetId="34">#REF!</definedName>
    <definedName name="k_2_11_8">#REF!</definedName>
    <definedName name="k_2_12" localSheetId="5">#REF!</definedName>
    <definedName name="k_2_12" localSheetId="34">#REF!</definedName>
    <definedName name="k_2_12">#REF!</definedName>
    <definedName name="k_2_2" localSheetId="34">#REF!</definedName>
    <definedName name="k_2_2">#REF!</definedName>
    <definedName name="k_2_3" localSheetId="34">#REF!</definedName>
    <definedName name="k_2_3">#REF!</definedName>
    <definedName name="k_2_4" localSheetId="34">#REF!</definedName>
    <definedName name="k_2_4">#REF!</definedName>
    <definedName name="k_2_7" localSheetId="34">#REF!</definedName>
    <definedName name="k_2_7">#REF!</definedName>
    <definedName name="k_2_8" localSheetId="34">#REF!</definedName>
    <definedName name="k_2_8">#REF!</definedName>
    <definedName name="k_20" localSheetId="5">#REF!</definedName>
    <definedName name="k_20" localSheetId="34">#REF!</definedName>
    <definedName name="k_20">#REF!</definedName>
    <definedName name="k_20_1" localSheetId="34">#REF!</definedName>
    <definedName name="k_20_1">#REF!</definedName>
    <definedName name="k_20_10" localSheetId="34">#REF!</definedName>
    <definedName name="k_20_10">#REF!</definedName>
    <definedName name="k_20_10_12" localSheetId="34">#REF!</definedName>
    <definedName name="k_20_10_12">#REF!</definedName>
    <definedName name="k_20_10_7" localSheetId="34">#REF!</definedName>
    <definedName name="k_20_10_7">#REF!</definedName>
    <definedName name="k_20_10_8" localSheetId="34">#REF!</definedName>
    <definedName name="k_20_10_8">#REF!</definedName>
    <definedName name="k_20_11" localSheetId="34">#REF!</definedName>
    <definedName name="k_20_11">#REF!</definedName>
    <definedName name="k_20_11_1" localSheetId="34">#REF!</definedName>
    <definedName name="k_20_11_1">#REF!</definedName>
    <definedName name="k_20_11_1_1" localSheetId="34">#REF!</definedName>
    <definedName name="k_20_11_1_1">#REF!</definedName>
    <definedName name="k_20_11_1_1_1">NA()</definedName>
    <definedName name="k_20_11_1_1_12" localSheetId="34">#REF!</definedName>
    <definedName name="k_20_11_1_1_12" localSheetId="8">#REF!</definedName>
    <definedName name="k_20_11_1_1_12">#REF!</definedName>
    <definedName name="k_20_11_1_1_2" localSheetId="34">#REF!</definedName>
    <definedName name="k_20_11_1_1_2">#REF!</definedName>
    <definedName name="k_20_11_1_1_7" localSheetId="34">#REF!</definedName>
    <definedName name="k_20_11_1_1_7">#REF!</definedName>
    <definedName name="k_20_11_1_1_8" localSheetId="34">#REF!</definedName>
    <definedName name="k_20_11_1_1_8">#REF!</definedName>
    <definedName name="k_20_11_1_12" localSheetId="34">#REF!</definedName>
    <definedName name="k_20_11_1_12">#REF!</definedName>
    <definedName name="k_20_11_1_2" localSheetId="34">#REF!</definedName>
    <definedName name="k_20_11_1_2">#REF!</definedName>
    <definedName name="k_20_11_1_7" localSheetId="34">#REF!</definedName>
    <definedName name="k_20_11_1_7">#REF!</definedName>
    <definedName name="k_20_11_1_8" localSheetId="34">#REF!</definedName>
    <definedName name="k_20_11_1_8">#REF!</definedName>
    <definedName name="k_20_11_12" localSheetId="34">#REF!</definedName>
    <definedName name="k_20_11_12">#REF!</definedName>
    <definedName name="k_20_11_3" localSheetId="34">#REF!</definedName>
    <definedName name="k_20_11_3">#REF!</definedName>
    <definedName name="k_20_11_3_12" localSheetId="34">#REF!</definedName>
    <definedName name="k_20_11_3_12">#REF!</definedName>
    <definedName name="k_20_11_3_2" localSheetId="34">#REF!</definedName>
    <definedName name="k_20_11_3_2">#REF!</definedName>
    <definedName name="k_20_11_3_7" localSheetId="34">#REF!</definedName>
    <definedName name="k_20_11_3_7">#REF!</definedName>
    <definedName name="k_20_11_3_8" localSheetId="34">#REF!</definedName>
    <definedName name="k_20_11_3_8">#REF!</definedName>
    <definedName name="k_20_11_5" localSheetId="34">#REF!</definedName>
    <definedName name="k_20_11_5">#REF!</definedName>
    <definedName name="k_20_11_5_12" localSheetId="34">#REF!</definedName>
    <definedName name="k_20_11_5_12">#REF!</definedName>
    <definedName name="k_20_11_5_2" localSheetId="34">#REF!</definedName>
    <definedName name="k_20_11_5_2">#REF!</definedName>
    <definedName name="k_20_11_5_7" localSheetId="34">#REF!</definedName>
    <definedName name="k_20_11_5_7">#REF!</definedName>
    <definedName name="k_20_11_5_8" localSheetId="34">#REF!</definedName>
    <definedName name="k_20_11_5_8">#REF!</definedName>
    <definedName name="k_20_11_7" localSheetId="34">#REF!</definedName>
    <definedName name="k_20_11_7">#REF!</definedName>
    <definedName name="k_20_11_8" localSheetId="34">#REF!</definedName>
    <definedName name="k_20_11_8">#REF!</definedName>
    <definedName name="k_20_12" localSheetId="5">#REF!</definedName>
    <definedName name="k_20_12" localSheetId="34">#REF!</definedName>
    <definedName name="k_20_12">#REF!</definedName>
    <definedName name="k_20_12_1">NA()</definedName>
    <definedName name="k_20_12_10" localSheetId="34">#REF!</definedName>
    <definedName name="k_20_12_10" localSheetId="8">#REF!</definedName>
    <definedName name="k_20_12_10">#REF!</definedName>
    <definedName name="k_20_12_10_12" localSheetId="34">#REF!</definedName>
    <definedName name="k_20_12_10_12">#REF!</definedName>
    <definedName name="k_20_12_10_7" localSheetId="34">#REF!</definedName>
    <definedName name="k_20_12_10_7">#REF!</definedName>
    <definedName name="k_20_12_10_8" localSheetId="34">#REF!</definedName>
    <definedName name="k_20_12_10_8">#REF!</definedName>
    <definedName name="k_20_12_12" localSheetId="34">#REF!</definedName>
    <definedName name="k_20_12_12">#REF!</definedName>
    <definedName name="k_20_12_7" localSheetId="34">#REF!</definedName>
    <definedName name="k_20_12_7">#REF!</definedName>
    <definedName name="k_20_12_8" localSheetId="34">#REF!</definedName>
    <definedName name="k_20_12_8">#REF!</definedName>
    <definedName name="k_20_2" localSheetId="34">#REF!</definedName>
    <definedName name="k_20_2">#REF!</definedName>
    <definedName name="k_20_3" localSheetId="34">#REF!</definedName>
    <definedName name="k_20_3">#REF!</definedName>
    <definedName name="k_20_4" localSheetId="34">#REF!</definedName>
    <definedName name="k_20_4">#REF!</definedName>
    <definedName name="k_20_7" localSheetId="34">#REF!</definedName>
    <definedName name="k_20_7">#REF!</definedName>
    <definedName name="k_20_8" localSheetId="34">#REF!</definedName>
    <definedName name="k_20_8">#REF!</definedName>
    <definedName name="k_20_9" localSheetId="34">#REF!</definedName>
    <definedName name="k_20_9">#REF!</definedName>
    <definedName name="k_20_9_1">NA()</definedName>
    <definedName name="k_20_9_12" localSheetId="34">#REF!</definedName>
    <definedName name="k_20_9_12" localSheetId="8">#REF!</definedName>
    <definedName name="k_20_9_12">#REF!</definedName>
    <definedName name="k_20_9_7" localSheetId="34">#REF!</definedName>
    <definedName name="k_20_9_7">#REF!</definedName>
    <definedName name="k_20_9_8" localSheetId="34">#REF!</definedName>
    <definedName name="k_20_9_8">#REF!</definedName>
    <definedName name="k_3" localSheetId="34">#REF!</definedName>
    <definedName name="k_3">#REF!</definedName>
    <definedName name="k_4" localSheetId="34">#REF!</definedName>
    <definedName name="k_4">#REF!</definedName>
    <definedName name="k_5" localSheetId="5">#REF!</definedName>
    <definedName name="k_5" localSheetId="34">#REF!</definedName>
    <definedName name="k_5">#REF!</definedName>
    <definedName name="k_5_1" localSheetId="34">#REF!</definedName>
    <definedName name="k_5_1">#REF!</definedName>
    <definedName name="k_5_10" localSheetId="34">#REF!</definedName>
    <definedName name="k_5_10">#REF!</definedName>
    <definedName name="k_5_10_1" localSheetId="34">#REF!</definedName>
    <definedName name="k_5_10_1">#REF!</definedName>
    <definedName name="k_5_10_1_1">NA()</definedName>
    <definedName name="k_5_10_1_12" localSheetId="34">#REF!</definedName>
    <definedName name="k_5_10_1_12" localSheetId="8">#REF!</definedName>
    <definedName name="k_5_10_1_12">#REF!</definedName>
    <definedName name="k_5_10_1_7" localSheetId="34">#REF!</definedName>
    <definedName name="k_5_10_1_7">#REF!</definedName>
    <definedName name="k_5_10_1_8" localSheetId="34">#REF!</definedName>
    <definedName name="k_5_10_1_8">#REF!</definedName>
    <definedName name="k_5_10_12" localSheetId="34">#REF!</definedName>
    <definedName name="k_5_10_12">#REF!</definedName>
    <definedName name="k_5_10_7" localSheetId="34">#REF!</definedName>
    <definedName name="k_5_10_7">#REF!</definedName>
    <definedName name="k_5_10_8" localSheetId="34">#REF!</definedName>
    <definedName name="k_5_10_8">#REF!</definedName>
    <definedName name="k_5_12" localSheetId="5">#REF!</definedName>
    <definedName name="k_5_12" localSheetId="34">#REF!</definedName>
    <definedName name="k_5_12">#REF!</definedName>
    <definedName name="k_5_2" localSheetId="34">#REF!</definedName>
    <definedName name="k_5_2">#REF!</definedName>
    <definedName name="k_5_3" localSheetId="34">#REF!</definedName>
    <definedName name="k_5_3">#REF!</definedName>
    <definedName name="k_5_4" localSheetId="34">#REF!</definedName>
    <definedName name="k_5_4">#REF!</definedName>
    <definedName name="k_5_7" localSheetId="34">#REF!</definedName>
    <definedName name="k_5_7">#REF!</definedName>
    <definedName name="k_5_8" localSheetId="34">#REF!</definedName>
    <definedName name="k_5_8">#REF!</definedName>
    <definedName name="k_6" localSheetId="5">#REF!</definedName>
    <definedName name="k_6" localSheetId="34">#REF!</definedName>
    <definedName name="k_6">#REF!</definedName>
    <definedName name="k_6_1" localSheetId="34">#REF!</definedName>
    <definedName name="k_6_1">#REF!</definedName>
    <definedName name="k_6_10" localSheetId="34">#REF!</definedName>
    <definedName name="k_6_10">#REF!</definedName>
    <definedName name="k_6_10_1" localSheetId="34">#REF!</definedName>
    <definedName name="k_6_10_1">#REF!</definedName>
    <definedName name="k_6_10_1_1">NA()</definedName>
    <definedName name="k_6_10_1_12" localSheetId="34">#REF!</definedName>
    <definedName name="k_6_10_1_12" localSheetId="8">#REF!</definedName>
    <definedName name="k_6_10_1_12">#REF!</definedName>
    <definedName name="k_6_10_1_7" localSheetId="34">#REF!</definedName>
    <definedName name="k_6_10_1_7">#REF!</definedName>
    <definedName name="k_6_10_1_8" localSheetId="34">#REF!</definedName>
    <definedName name="k_6_10_1_8">#REF!</definedName>
    <definedName name="k_6_10_12" localSheetId="34">#REF!</definedName>
    <definedName name="k_6_10_12">#REF!</definedName>
    <definedName name="k_6_10_7" localSheetId="34">#REF!</definedName>
    <definedName name="k_6_10_7">#REF!</definedName>
    <definedName name="k_6_10_8" localSheetId="34">#REF!</definedName>
    <definedName name="k_6_10_8">#REF!</definedName>
    <definedName name="k_6_12" localSheetId="5">#REF!</definedName>
    <definedName name="k_6_12" localSheetId="34">#REF!</definedName>
    <definedName name="k_6_12">#REF!</definedName>
    <definedName name="k_6_2" localSheetId="34">#REF!</definedName>
    <definedName name="k_6_2">#REF!</definedName>
    <definedName name="k_6_3" localSheetId="34">#REF!</definedName>
    <definedName name="k_6_3">#REF!</definedName>
    <definedName name="k_6_4" localSheetId="34">#REF!</definedName>
    <definedName name="k_6_4">#REF!</definedName>
    <definedName name="k_6_7" localSheetId="34">#REF!</definedName>
    <definedName name="k_6_7">#REF!</definedName>
    <definedName name="k_6_8" localSheetId="34">#REF!</definedName>
    <definedName name="k_6_8">#REF!</definedName>
    <definedName name="k_7" localSheetId="34">#REF!</definedName>
    <definedName name="k_7">#REF!</definedName>
    <definedName name="k_8" localSheetId="34">#REF!</definedName>
    <definedName name="k_8">#REF!</definedName>
    <definedName name="k_9" localSheetId="34">#REF!</definedName>
    <definedName name="k_9">#REF!</definedName>
    <definedName name="k_9_1">NA()</definedName>
    <definedName name="k_9_12" localSheetId="34">#REF!</definedName>
    <definedName name="k_9_12" localSheetId="8">#REF!</definedName>
    <definedName name="k_9_12">#REF!</definedName>
    <definedName name="k_9_7" localSheetId="34">#REF!</definedName>
    <definedName name="k_9_7">#REF!</definedName>
    <definedName name="k_9_8" localSheetId="34">#REF!</definedName>
    <definedName name="k_9_8">#REF!</definedName>
    <definedName name="keres" localSheetId="5">#REF!</definedName>
    <definedName name="keres" localSheetId="34">#REF!</definedName>
    <definedName name="keres">#REF!</definedName>
    <definedName name="keres_1" localSheetId="34">#REF!</definedName>
    <definedName name="keres_1">#REF!</definedName>
    <definedName name="keres_10" localSheetId="34">#REF!</definedName>
    <definedName name="keres_10">#REF!</definedName>
    <definedName name="keres_10_12" localSheetId="34">#REF!</definedName>
    <definedName name="keres_10_12">#REF!</definedName>
    <definedName name="keres_10_7" localSheetId="34">#REF!</definedName>
    <definedName name="keres_10_7">#REF!</definedName>
    <definedName name="keres_10_8" localSheetId="34">#REF!</definedName>
    <definedName name="keres_10_8">#REF!</definedName>
    <definedName name="keres_11" localSheetId="34">#REF!</definedName>
    <definedName name="keres_11">#REF!</definedName>
    <definedName name="keres_11_1" localSheetId="34">#REF!</definedName>
    <definedName name="keres_11_1">#REF!</definedName>
    <definedName name="keres_11_1_1" localSheetId="34">#REF!</definedName>
    <definedName name="keres_11_1_1">#REF!</definedName>
    <definedName name="keres_11_1_1_1">NA()</definedName>
    <definedName name="keres_11_1_1_12" localSheetId="34">#REF!</definedName>
    <definedName name="keres_11_1_1_12" localSheetId="8">#REF!</definedName>
    <definedName name="keres_11_1_1_12">#REF!</definedName>
    <definedName name="keres_11_1_1_2" localSheetId="34">#REF!</definedName>
    <definedName name="keres_11_1_1_2">#REF!</definedName>
    <definedName name="keres_11_1_1_7" localSheetId="34">#REF!</definedName>
    <definedName name="keres_11_1_1_7">#REF!</definedName>
    <definedName name="keres_11_1_1_8" localSheetId="34">#REF!</definedName>
    <definedName name="keres_11_1_1_8">#REF!</definedName>
    <definedName name="keres_11_1_12" localSheetId="34">#REF!</definedName>
    <definedName name="keres_11_1_12">#REF!</definedName>
    <definedName name="keres_11_1_2" localSheetId="34">#REF!</definedName>
    <definedName name="keres_11_1_2">#REF!</definedName>
    <definedName name="keres_11_1_7" localSheetId="34">#REF!</definedName>
    <definedName name="keres_11_1_7">#REF!</definedName>
    <definedName name="keres_11_1_8" localSheetId="34">#REF!</definedName>
    <definedName name="keres_11_1_8">#REF!</definedName>
    <definedName name="keres_11_12" localSheetId="34">#REF!</definedName>
    <definedName name="keres_11_12">#REF!</definedName>
    <definedName name="keres_11_3" localSheetId="34">#REF!</definedName>
    <definedName name="keres_11_3">#REF!</definedName>
    <definedName name="keres_11_3_12" localSheetId="34">#REF!</definedName>
    <definedName name="keres_11_3_12">#REF!</definedName>
    <definedName name="keres_11_3_2" localSheetId="34">#REF!</definedName>
    <definedName name="keres_11_3_2">#REF!</definedName>
    <definedName name="keres_11_3_7" localSheetId="34">#REF!</definedName>
    <definedName name="keres_11_3_7">#REF!</definedName>
    <definedName name="keres_11_3_8" localSheetId="34">#REF!</definedName>
    <definedName name="keres_11_3_8">#REF!</definedName>
    <definedName name="keres_11_5" localSheetId="34">#REF!</definedName>
    <definedName name="keres_11_5">#REF!</definedName>
    <definedName name="keres_11_5_12" localSheetId="34">#REF!</definedName>
    <definedName name="keres_11_5_12">#REF!</definedName>
    <definedName name="keres_11_5_2" localSheetId="34">#REF!</definedName>
    <definedName name="keres_11_5_2">#REF!</definedName>
    <definedName name="keres_11_5_7" localSheetId="34">#REF!</definedName>
    <definedName name="keres_11_5_7">#REF!</definedName>
    <definedName name="keres_11_5_8" localSheetId="34">#REF!</definedName>
    <definedName name="keres_11_5_8">#REF!</definedName>
    <definedName name="keres_11_7" localSheetId="34">#REF!</definedName>
    <definedName name="keres_11_7">#REF!</definedName>
    <definedName name="keres_11_8" localSheetId="34">#REF!</definedName>
    <definedName name="keres_11_8">#REF!</definedName>
    <definedName name="keres_12" localSheetId="5">#REF!</definedName>
    <definedName name="keres_12" localSheetId="34">#REF!</definedName>
    <definedName name="keres_12">#REF!</definedName>
    <definedName name="keres_12_1">NA()</definedName>
    <definedName name="keres_12_10" localSheetId="34">#REF!</definedName>
    <definedName name="keres_12_10" localSheetId="8">#REF!</definedName>
    <definedName name="keres_12_10">#REF!</definedName>
    <definedName name="keres_12_10_12" localSheetId="34">#REF!</definedName>
    <definedName name="keres_12_10_12">#REF!</definedName>
    <definedName name="keres_12_10_7" localSheetId="34">#REF!</definedName>
    <definedName name="keres_12_10_7">#REF!</definedName>
    <definedName name="keres_12_10_8" localSheetId="34">#REF!</definedName>
    <definedName name="keres_12_10_8">#REF!</definedName>
    <definedName name="keres_12_12" localSheetId="34">#REF!</definedName>
    <definedName name="keres_12_12">#REF!</definedName>
    <definedName name="keres_12_7" localSheetId="34">#REF!</definedName>
    <definedName name="keres_12_7">#REF!</definedName>
    <definedName name="keres_12_8" localSheetId="34">#REF!</definedName>
    <definedName name="keres_12_8">#REF!</definedName>
    <definedName name="keres_2" localSheetId="5">#REF!</definedName>
    <definedName name="keres_2" localSheetId="34">#REF!</definedName>
    <definedName name="keres_2">#REF!</definedName>
    <definedName name="keres_2_1" localSheetId="34">#REF!</definedName>
    <definedName name="keres_2_1">#REF!</definedName>
    <definedName name="keres_2_1_1" localSheetId="34">#REF!</definedName>
    <definedName name="keres_2_1_1">#REF!</definedName>
    <definedName name="keres_2_10" localSheetId="34">#REF!</definedName>
    <definedName name="keres_2_10">#REF!</definedName>
    <definedName name="keres_2_10_12" localSheetId="34">#REF!</definedName>
    <definedName name="keres_2_10_12">#REF!</definedName>
    <definedName name="keres_2_10_7" localSheetId="34">#REF!</definedName>
    <definedName name="keres_2_10_7">#REF!</definedName>
    <definedName name="keres_2_10_8" localSheetId="34">#REF!</definedName>
    <definedName name="keres_2_10_8">#REF!</definedName>
    <definedName name="keres_2_11" localSheetId="34">#REF!</definedName>
    <definedName name="keres_2_11">#REF!</definedName>
    <definedName name="keres_2_11_1" localSheetId="34">#REF!</definedName>
    <definedName name="keres_2_11_1">#REF!</definedName>
    <definedName name="keres_2_11_1_1" localSheetId="34">#REF!</definedName>
    <definedName name="keres_2_11_1_1">#REF!</definedName>
    <definedName name="keres_2_11_1_1_1">NA()</definedName>
    <definedName name="keres_2_11_1_1_12" localSheetId="34">#REF!</definedName>
    <definedName name="keres_2_11_1_1_12" localSheetId="8">#REF!</definedName>
    <definedName name="keres_2_11_1_1_12">#REF!</definedName>
    <definedName name="keres_2_11_1_1_2" localSheetId="34">#REF!</definedName>
    <definedName name="keres_2_11_1_1_2">#REF!</definedName>
    <definedName name="keres_2_11_1_1_7" localSheetId="34">#REF!</definedName>
    <definedName name="keres_2_11_1_1_7">#REF!</definedName>
    <definedName name="keres_2_11_1_1_8" localSheetId="34">#REF!</definedName>
    <definedName name="keres_2_11_1_1_8">#REF!</definedName>
    <definedName name="keres_2_11_1_12" localSheetId="34">#REF!</definedName>
    <definedName name="keres_2_11_1_12">#REF!</definedName>
    <definedName name="keres_2_11_1_2" localSheetId="34">#REF!</definedName>
    <definedName name="keres_2_11_1_2">#REF!</definedName>
    <definedName name="keres_2_11_1_7" localSheetId="34">#REF!</definedName>
    <definedName name="keres_2_11_1_7">#REF!</definedName>
    <definedName name="keres_2_11_1_8" localSheetId="34">#REF!</definedName>
    <definedName name="keres_2_11_1_8">#REF!</definedName>
    <definedName name="keres_2_11_12" localSheetId="34">#REF!</definedName>
    <definedName name="keres_2_11_12">#REF!</definedName>
    <definedName name="keres_2_11_3" localSheetId="34">#REF!</definedName>
    <definedName name="keres_2_11_3">#REF!</definedName>
    <definedName name="keres_2_11_3_12" localSheetId="34">#REF!</definedName>
    <definedName name="keres_2_11_3_12">#REF!</definedName>
    <definedName name="keres_2_11_3_2" localSheetId="34">#REF!</definedName>
    <definedName name="keres_2_11_3_2">#REF!</definedName>
    <definedName name="keres_2_11_3_7" localSheetId="34">#REF!</definedName>
    <definedName name="keres_2_11_3_7">#REF!</definedName>
    <definedName name="keres_2_11_3_8" localSheetId="34">#REF!</definedName>
    <definedName name="keres_2_11_3_8">#REF!</definedName>
    <definedName name="keres_2_11_5" localSheetId="34">#REF!</definedName>
    <definedName name="keres_2_11_5">#REF!</definedName>
    <definedName name="keres_2_11_5_12" localSheetId="34">#REF!</definedName>
    <definedName name="keres_2_11_5_12">#REF!</definedName>
    <definedName name="keres_2_11_5_2" localSheetId="34">#REF!</definedName>
    <definedName name="keres_2_11_5_2">#REF!</definedName>
    <definedName name="keres_2_11_5_7" localSheetId="34">#REF!</definedName>
    <definedName name="keres_2_11_5_7">#REF!</definedName>
    <definedName name="keres_2_11_5_8" localSheetId="34">#REF!</definedName>
    <definedName name="keres_2_11_5_8">#REF!</definedName>
    <definedName name="keres_2_11_7" localSheetId="34">#REF!</definedName>
    <definedName name="keres_2_11_7">#REF!</definedName>
    <definedName name="keres_2_11_8" localSheetId="34">#REF!</definedName>
    <definedName name="keres_2_11_8">#REF!</definedName>
    <definedName name="keres_2_12" localSheetId="5">#REF!</definedName>
    <definedName name="keres_2_12" localSheetId="34">#REF!</definedName>
    <definedName name="keres_2_12">#REF!</definedName>
    <definedName name="keres_2_2" localSheetId="34">#REF!</definedName>
    <definedName name="keres_2_2">#REF!</definedName>
    <definedName name="keres_2_3" localSheetId="34">#REF!</definedName>
    <definedName name="keres_2_3">#REF!</definedName>
    <definedName name="keres_2_4" localSheetId="34">#REF!</definedName>
    <definedName name="keres_2_4">#REF!</definedName>
    <definedName name="keres_2_7" localSheetId="34">#REF!</definedName>
    <definedName name="keres_2_7">#REF!</definedName>
    <definedName name="keres_2_8" localSheetId="34">#REF!</definedName>
    <definedName name="keres_2_8">#REF!</definedName>
    <definedName name="keres_20" localSheetId="5">#REF!</definedName>
    <definedName name="keres_20" localSheetId="34">#REF!</definedName>
    <definedName name="keres_20">#REF!</definedName>
    <definedName name="keres_20_1" localSheetId="34">#REF!</definedName>
    <definedName name="keres_20_1">#REF!</definedName>
    <definedName name="keres_20_10" localSheetId="34">#REF!</definedName>
    <definedName name="keres_20_10">#REF!</definedName>
    <definedName name="keres_20_10_12" localSheetId="34">#REF!</definedName>
    <definedName name="keres_20_10_12">#REF!</definedName>
    <definedName name="keres_20_10_7" localSheetId="34">#REF!</definedName>
    <definedName name="keres_20_10_7">#REF!</definedName>
    <definedName name="keres_20_10_8" localSheetId="34">#REF!</definedName>
    <definedName name="keres_20_10_8">#REF!</definedName>
    <definedName name="keres_20_11" localSheetId="34">#REF!</definedName>
    <definedName name="keres_20_11">#REF!</definedName>
    <definedName name="keres_20_11_1" localSheetId="34">#REF!</definedName>
    <definedName name="keres_20_11_1">#REF!</definedName>
    <definedName name="keres_20_11_1_1" localSheetId="34">#REF!</definedName>
    <definedName name="keres_20_11_1_1">#REF!</definedName>
    <definedName name="keres_20_11_1_1_1">NA()</definedName>
    <definedName name="keres_20_11_1_1_12" localSheetId="34">#REF!</definedName>
    <definedName name="keres_20_11_1_1_12" localSheetId="8">#REF!</definedName>
    <definedName name="keres_20_11_1_1_12">#REF!</definedName>
    <definedName name="keres_20_11_1_1_2" localSheetId="34">#REF!</definedName>
    <definedName name="keres_20_11_1_1_2">#REF!</definedName>
    <definedName name="keres_20_11_1_1_7" localSheetId="34">#REF!</definedName>
    <definedName name="keres_20_11_1_1_7">#REF!</definedName>
    <definedName name="keres_20_11_1_1_8" localSheetId="34">#REF!</definedName>
    <definedName name="keres_20_11_1_1_8">#REF!</definedName>
    <definedName name="keres_20_11_1_12" localSheetId="34">#REF!</definedName>
    <definedName name="keres_20_11_1_12">#REF!</definedName>
    <definedName name="keres_20_11_1_2" localSheetId="34">#REF!</definedName>
    <definedName name="keres_20_11_1_2">#REF!</definedName>
    <definedName name="keres_20_11_1_7" localSheetId="34">#REF!</definedName>
    <definedName name="keres_20_11_1_7">#REF!</definedName>
    <definedName name="keres_20_11_1_8" localSheetId="34">#REF!</definedName>
    <definedName name="keres_20_11_1_8">#REF!</definedName>
    <definedName name="keres_20_11_12" localSheetId="34">#REF!</definedName>
    <definedName name="keres_20_11_12">#REF!</definedName>
    <definedName name="keres_20_11_3" localSheetId="34">#REF!</definedName>
    <definedName name="keres_20_11_3">#REF!</definedName>
    <definedName name="keres_20_11_3_12" localSheetId="34">#REF!</definedName>
    <definedName name="keres_20_11_3_12">#REF!</definedName>
    <definedName name="keres_20_11_3_2" localSheetId="34">#REF!</definedName>
    <definedName name="keres_20_11_3_2">#REF!</definedName>
    <definedName name="keres_20_11_3_7" localSheetId="34">#REF!</definedName>
    <definedName name="keres_20_11_3_7">#REF!</definedName>
    <definedName name="keres_20_11_3_8" localSheetId="34">#REF!</definedName>
    <definedName name="keres_20_11_3_8">#REF!</definedName>
    <definedName name="keres_20_11_5" localSheetId="34">#REF!</definedName>
    <definedName name="keres_20_11_5">#REF!</definedName>
    <definedName name="keres_20_11_5_12" localSheetId="34">#REF!</definedName>
    <definedName name="keres_20_11_5_12">#REF!</definedName>
    <definedName name="keres_20_11_5_2" localSheetId="34">#REF!</definedName>
    <definedName name="keres_20_11_5_2">#REF!</definedName>
    <definedName name="keres_20_11_5_7" localSheetId="34">#REF!</definedName>
    <definedName name="keres_20_11_5_7">#REF!</definedName>
    <definedName name="keres_20_11_5_8" localSheetId="34">#REF!</definedName>
    <definedName name="keres_20_11_5_8">#REF!</definedName>
    <definedName name="keres_20_11_7" localSheetId="34">#REF!</definedName>
    <definedName name="keres_20_11_7">#REF!</definedName>
    <definedName name="keres_20_11_8" localSheetId="34">#REF!</definedName>
    <definedName name="keres_20_11_8">#REF!</definedName>
    <definedName name="keres_20_12" localSheetId="5">#REF!</definedName>
    <definedName name="keres_20_12" localSheetId="34">#REF!</definedName>
    <definedName name="keres_20_12">#REF!</definedName>
    <definedName name="keres_20_12_1">NA()</definedName>
    <definedName name="keres_20_12_10" localSheetId="34">#REF!</definedName>
    <definedName name="keres_20_12_10" localSheetId="8">#REF!</definedName>
    <definedName name="keres_20_12_10">#REF!</definedName>
    <definedName name="keres_20_12_10_12" localSheetId="34">#REF!</definedName>
    <definedName name="keres_20_12_10_12">#REF!</definedName>
    <definedName name="keres_20_12_10_7" localSheetId="34">#REF!</definedName>
    <definedName name="keres_20_12_10_7">#REF!</definedName>
    <definedName name="keres_20_12_10_8" localSheetId="34">#REF!</definedName>
    <definedName name="keres_20_12_10_8">#REF!</definedName>
    <definedName name="keres_20_12_12" localSheetId="34">#REF!</definedName>
    <definedName name="keres_20_12_12">#REF!</definedName>
    <definedName name="keres_20_12_7" localSheetId="34">#REF!</definedName>
    <definedName name="keres_20_12_7">#REF!</definedName>
    <definedName name="keres_20_12_8" localSheetId="34">#REF!</definedName>
    <definedName name="keres_20_12_8">#REF!</definedName>
    <definedName name="keres_20_2" localSheetId="34">#REF!</definedName>
    <definedName name="keres_20_2">#REF!</definedName>
    <definedName name="keres_20_3" localSheetId="34">#REF!</definedName>
    <definedName name="keres_20_3">#REF!</definedName>
    <definedName name="keres_20_4" localSheetId="34">#REF!</definedName>
    <definedName name="keres_20_4">#REF!</definedName>
    <definedName name="keres_20_7" localSheetId="34">#REF!</definedName>
    <definedName name="keres_20_7">#REF!</definedName>
    <definedName name="keres_20_8" localSheetId="34">#REF!</definedName>
    <definedName name="keres_20_8">#REF!</definedName>
    <definedName name="keres_20_9" localSheetId="34">#REF!</definedName>
    <definedName name="keres_20_9">#REF!</definedName>
    <definedName name="keres_20_9_1">NA()</definedName>
    <definedName name="keres_20_9_12" localSheetId="34">#REF!</definedName>
    <definedName name="keres_20_9_12" localSheetId="8">#REF!</definedName>
    <definedName name="keres_20_9_12">#REF!</definedName>
    <definedName name="keres_20_9_7" localSheetId="34">#REF!</definedName>
    <definedName name="keres_20_9_7">#REF!</definedName>
    <definedName name="keres_20_9_8" localSheetId="34">#REF!</definedName>
    <definedName name="keres_20_9_8">#REF!</definedName>
    <definedName name="keres_3" localSheetId="34">#REF!</definedName>
    <definedName name="keres_3">#REF!</definedName>
    <definedName name="keres_4" localSheetId="34">#REF!</definedName>
    <definedName name="keres_4">#REF!</definedName>
    <definedName name="keres_7" localSheetId="34">#REF!</definedName>
    <definedName name="keres_7">#REF!</definedName>
    <definedName name="keres_8" localSheetId="34">#REF!</definedName>
    <definedName name="keres_8">#REF!</definedName>
    <definedName name="keres_9" localSheetId="34">#REF!</definedName>
    <definedName name="keres_9">#REF!</definedName>
    <definedName name="keres_9_1">NA()</definedName>
    <definedName name="keres_9_12" localSheetId="34">#REF!</definedName>
    <definedName name="keres_9_12" localSheetId="8">#REF!</definedName>
    <definedName name="keres_9_12">#REF!</definedName>
    <definedName name="keres_9_7" localSheetId="34">#REF!</definedName>
    <definedName name="keres_9_7">#REF!</definedName>
    <definedName name="keres_9_8" localSheetId="34">#REF!</definedName>
    <definedName name="keres_9_8">#REF!</definedName>
    <definedName name="kitart" localSheetId="5">#REF!</definedName>
    <definedName name="kitart" localSheetId="34">#REF!</definedName>
    <definedName name="kitart">#REF!</definedName>
    <definedName name="kitart_1" localSheetId="34">#REF!</definedName>
    <definedName name="kitart_1">#REF!</definedName>
    <definedName name="kitart_10" localSheetId="34">#REF!</definedName>
    <definedName name="kitart_10">#REF!</definedName>
    <definedName name="kitart_10_12" localSheetId="34">#REF!</definedName>
    <definedName name="kitart_10_12">#REF!</definedName>
    <definedName name="kitart_10_7" localSheetId="34">#REF!</definedName>
    <definedName name="kitart_10_7">#REF!</definedName>
    <definedName name="kitart_10_8" localSheetId="34">#REF!</definedName>
    <definedName name="kitart_10_8">#REF!</definedName>
    <definedName name="kitart_11" localSheetId="34">#REF!</definedName>
    <definedName name="kitart_11">#REF!</definedName>
    <definedName name="kitart_11_1" localSheetId="34">#REF!</definedName>
    <definedName name="kitart_11_1">#REF!</definedName>
    <definedName name="kitart_11_1_1" localSheetId="34">#REF!</definedName>
    <definedName name="kitart_11_1_1">#REF!</definedName>
    <definedName name="kitart_11_1_1_1">NA()</definedName>
    <definedName name="kitart_11_1_1_12" localSheetId="34">#REF!</definedName>
    <definedName name="kitart_11_1_1_12" localSheetId="8">#REF!</definedName>
    <definedName name="kitart_11_1_1_12">#REF!</definedName>
    <definedName name="kitart_11_1_1_2" localSheetId="34">#REF!</definedName>
    <definedName name="kitart_11_1_1_2">#REF!</definedName>
    <definedName name="kitart_11_1_1_7" localSheetId="34">#REF!</definedName>
    <definedName name="kitart_11_1_1_7">#REF!</definedName>
    <definedName name="kitart_11_1_1_8" localSheetId="34">#REF!</definedName>
    <definedName name="kitart_11_1_1_8">#REF!</definedName>
    <definedName name="kitart_11_1_12" localSheetId="34">#REF!</definedName>
    <definedName name="kitart_11_1_12">#REF!</definedName>
    <definedName name="kitart_11_1_2" localSheetId="34">#REF!</definedName>
    <definedName name="kitart_11_1_2">#REF!</definedName>
    <definedName name="kitart_11_1_7" localSheetId="34">#REF!</definedName>
    <definedName name="kitart_11_1_7">#REF!</definedName>
    <definedName name="kitart_11_1_8" localSheetId="34">#REF!</definedName>
    <definedName name="kitart_11_1_8">#REF!</definedName>
    <definedName name="kitart_11_12" localSheetId="34">#REF!</definedName>
    <definedName name="kitart_11_12">#REF!</definedName>
    <definedName name="kitart_11_3" localSheetId="34">#REF!</definedName>
    <definedName name="kitart_11_3">#REF!</definedName>
    <definedName name="kitart_11_3_12" localSheetId="34">#REF!</definedName>
    <definedName name="kitart_11_3_12">#REF!</definedName>
    <definedName name="kitart_11_3_2" localSheetId="34">#REF!</definedName>
    <definedName name="kitart_11_3_2">#REF!</definedName>
    <definedName name="kitart_11_3_7" localSheetId="34">#REF!</definedName>
    <definedName name="kitart_11_3_7">#REF!</definedName>
    <definedName name="kitart_11_3_8" localSheetId="34">#REF!</definedName>
    <definedName name="kitart_11_3_8">#REF!</definedName>
    <definedName name="kitart_11_5" localSheetId="34">#REF!</definedName>
    <definedName name="kitart_11_5">#REF!</definedName>
    <definedName name="kitart_11_5_12" localSheetId="34">#REF!</definedName>
    <definedName name="kitart_11_5_12">#REF!</definedName>
    <definedName name="kitart_11_5_2" localSheetId="34">#REF!</definedName>
    <definedName name="kitart_11_5_2">#REF!</definedName>
    <definedName name="kitart_11_5_7" localSheetId="34">#REF!</definedName>
    <definedName name="kitart_11_5_7">#REF!</definedName>
    <definedName name="kitart_11_5_8" localSheetId="34">#REF!</definedName>
    <definedName name="kitart_11_5_8">#REF!</definedName>
    <definedName name="kitart_11_7" localSheetId="34">#REF!</definedName>
    <definedName name="kitart_11_7">#REF!</definedName>
    <definedName name="kitart_11_8" localSheetId="34">#REF!</definedName>
    <definedName name="kitart_11_8">#REF!</definedName>
    <definedName name="kitart_12" localSheetId="5">#REF!</definedName>
    <definedName name="kitart_12" localSheetId="34">#REF!</definedName>
    <definedName name="kitart_12">#REF!</definedName>
    <definedName name="kitart_12_1">NA()</definedName>
    <definedName name="kitart_12_10" localSheetId="34">#REF!</definedName>
    <definedName name="kitart_12_10" localSheetId="8">#REF!</definedName>
    <definedName name="kitart_12_10">#REF!</definedName>
    <definedName name="kitart_12_10_12" localSheetId="34">#REF!</definedName>
    <definedName name="kitart_12_10_12">#REF!</definedName>
    <definedName name="kitart_12_10_7" localSheetId="34">#REF!</definedName>
    <definedName name="kitart_12_10_7">#REF!</definedName>
    <definedName name="kitart_12_10_8" localSheetId="34">#REF!</definedName>
    <definedName name="kitart_12_10_8">#REF!</definedName>
    <definedName name="kitart_12_12" localSheetId="34">#REF!</definedName>
    <definedName name="kitart_12_12">#REF!</definedName>
    <definedName name="kitart_12_7" localSheetId="34">#REF!</definedName>
    <definedName name="kitart_12_7">#REF!</definedName>
    <definedName name="kitart_12_8" localSheetId="34">#REF!</definedName>
    <definedName name="kitart_12_8">#REF!</definedName>
    <definedName name="kitart_2" localSheetId="5">#REF!</definedName>
    <definedName name="kitart_2" localSheetId="34">#REF!</definedName>
    <definedName name="kitart_2">#REF!</definedName>
    <definedName name="kitart_2_1" localSheetId="34">#REF!</definedName>
    <definedName name="kitart_2_1">#REF!</definedName>
    <definedName name="kitart_2_1_1" localSheetId="34">#REF!</definedName>
    <definedName name="kitart_2_1_1">#REF!</definedName>
    <definedName name="kitart_2_10" localSheetId="34">#REF!</definedName>
    <definedName name="kitart_2_10">#REF!</definedName>
    <definedName name="kitart_2_10_12" localSheetId="34">#REF!</definedName>
    <definedName name="kitart_2_10_12">#REF!</definedName>
    <definedName name="kitart_2_10_7" localSheetId="34">#REF!</definedName>
    <definedName name="kitart_2_10_7">#REF!</definedName>
    <definedName name="kitart_2_10_8" localSheetId="34">#REF!</definedName>
    <definedName name="kitart_2_10_8">#REF!</definedName>
    <definedName name="kitart_2_11" localSheetId="34">#REF!</definedName>
    <definedName name="kitart_2_11">#REF!</definedName>
    <definedName name="kitart_2_11_1" localSheetId="34">#REF!</definedName>
    <definedName name="kitart_2_11_1">#REF!</definedName>
    <definedName name="kitart_2_11_1_1" localSheetId="34">#REF!</definedName>
    <definedName name="kitart_2_11_1_1">#REF!</definedName>
    <definedName name="kitart_2_11_1_1_1">NA()</definedName>
    <definedName name="kitart_2_11_1_1_12" localSheetId="34">#REF!</definedName>
    <definedName name="kitart_2_11_1_1_12" localSheetId="8">#REF!</definedName>
    <definedName name="kitart_2_11_1_1_12">#REF!</definedName>
    <definedName name="kitart_2_11_1_1_2" localSheetId="34">#REF!</definedName>
    <definedName name="kitart_2_11_1_1_2">#REF!</definedName>
    <definedName name="kitart_2_11_1_1_7" localSheetId="34">#REF!</definedName>
    <definedName name="kitart_2_11_1_1_7">#REF!</definedName>
    <definedName name="kitart_2_11_1_1_8" localSheetId="34">#REF!</definedName>
    <definedName name="kitart_2_11_1_1_8">#REF!</definedName>
    <definedName name="kitart_2_11_1_12" localSheetId="34">#REF!</definedName>
    <definedName name="kitart_2_11_1_12">#REF!</definedName>
    <definedName name="kitart_2_11_1_2" localSheetId="34">#REF!</definedName>
    <definedName name="kitart_2_11_1_2">#REF!</definedName>
    <definedName name="kitart_2_11_1_7" localSheetId="34">#REF!</definedName>
    <definedName name="kitart_2_11_1_7">#REF!</definedName>
    <definedName name="kitart_2_11_1_8" localSheetId="34">#REF!</definedName>
    <definedName name="kitart_2_11_1_8">#REF!</definedName>
    <definedName name="kitart_2_11_12" localSheetId="34">#REF!</definedName>
    <definedName name="kitart_2_11_12">#REF!</definedName>
    <definedName name="kitart_2_11_3" localSheetId="34">#REF!</definedName>
    <definedName name="kitart_2_11_3">#REF!</definedName>
    <definedName name="kitart_2_11_3_12" localSheetId="34">#REF!</definedName>
    <definedName name="kitart_2_11_3_12">#REF!</definedName>
    <definedName name="kitart_2_11_3_2" localSheetId="34">#REF!</definedName>
    <definedName name="kitart_2_11_3_2">#REF!</definedName>
    <definedName name="kitart_2_11_3_7" localSheetId="34">#REF!</definedName>
    <definedName name="kitart_2_11_3_7">#REF!</definedName>
    <definedName name="kitart_2_11_3_8" localSheetId="34">#REF!</definedName>
    <definedName name="kitart_2_11_3_8">#REF!</definedName>
    <definedName name="kitart_2_11_5" localSheetId="34">#REF!</definedName>
    <definedName name="kitart_2_11_5">#REF!</definedName>
    <definedName name="kitart_2_11_5_12" localSheetId="34">#REF!</definedName>
    <definedName name="kitart_2_11_5_12">#REF!</definedName>
    <definedName name="kitart_2_11_5_2" localSheetId="34">#REF!</definedName>
    <definedName name="kitart_2_11_5_2">#REF!</definedName>
    <definedName name="kitart_2_11_5_7" localSheetId="34">#REF!</definedName>
    <definedName name="kitart_2_11_5_7">#REF!</definedName>
    <definedName name="kitart_2_11_5_8" localSheetId="34">#REF!</definedName>
    <definedName name="kitart_2_11_5_8">#REF!</definedName>
    <definedName name="kitart_2_11_7" localSheetId="34">#REF!</definedName>
    <definedName name="kitart_2_11_7">#REF!</definedName>
    <definedName name="kitart_2_11_8" localSheetId="34">#REF!</definedName>
    <definedName name="kitart_2_11_8">#REF!</definedName>
    <definedName name="kitart_2_12" localSheetId="5">#REF!</definedName>
    <definedName name="kitart_2_12" localSheetId="34">#REF!</definedName>
    <definedName name="kitart_2_12">#REF!</definedName>
    <definedName name="kitart_2_2" localSheetId="34">#REF!</definedName>
    <definedName name="kitart_2_2">#REF!</definedName>
    <definedName name="kitart_2_3" localSheetId="34">#REF!</definedName>
    <definedName name="kitart_2_3">#REF!</definedName>
    <definedName name="kitart_2_4" localSheetId="34">#REF!</definedName>
    <definedName name="kitart_2_4">#REF!</definedName>
    <definedName name="kitart_2_7" localSheetId="34">#REF!</definedName>
    <definedName name="kitart_2_7">#REF!</definedName>
    <definedName name="kitart_2_8" localSheetId="34">#REF!</definedName>
    <definedName name="kitart_2_8">#REF!</definedName>
    <definedName name="kitart_20" localSheetId="5">#REF!</definedName>
    <definedName name="kitart_20" localSheetId="34">#REF!</definedName>
    <definedName name="kitart_20">#REF!</definedName>
    <definedName name="kitart_20_1" localSheetId="34">#REF!</definedName>
    <definedName name="kitart_20_1">#REF!</definedName>
    <definedName name="kitart_20_10" localSheetId="34">#REF!</definedName>
    <definedName name="kitart_20_10">#REF!</definedName>
    <definedName name="kitart_20_10_12" localSheetId="34">#REF!</definedName>
    <definedName name="kitart_20_10_12">#REF!</definedName>
    <definedName name="kitart_20_10_7" localSheetId="34">#REF!</definedName>
    <definedName name="kitart_20_10_7">#REF!</definedName>
    <definedName name="kitart_20_10_8" localSheetId="34">#REF!</definedName>
    <definedName name="kitart_20_10_8">#REF!</definedName>
    <definedName name="kitart_20_11" localSheetId="34">#REF!</definedName>
    <definedName name="kitart_20_11">#REF!</definedName>
    <definedName name="kitart_20_11_1" localSheetId="34">#REF!</definedName>
    <definedName name="kitart_20_11_1">#REF!</definedName>
    <definedName name="kitart_20_11_1_1" localSheetId="34">#REF!</definedName>
    <definedName name="kitart_20_11_1_1">#REF!</definedName>
    <definedName name="kitart_20_11_1_1_1">NA()</definedName>
    <definedName name="kitart_20_11_1_1_12" localSheetId="34">#REF!</definedName>
    <definedName name="kitart_20_11_1_1_12" localSheetId="8">#REF!</definedName>
    <definedName name="kitart_20_11_1_1_12">#REF!</definedName>
    <definedName name="kitart_20_11_1_1_2" localSheetId="34">#REF!</definedName>
    <definedName name="kitart_20_11_1_1_2">#REF!</definedName>
    <definedName name="kitart_20_11_1_1_7" localSheetId="34">#REF!</definedName>
    <definedName name="kitart_20_11_1_1_7">#REF!</definedName>
    <definedName name="kitart_20_11_1_1_8" localSheetId="34">#REF!</definedName>
    <definedName name="kitart_20_11_1_1_8">#REF!</definedName>
    <definedName name="kitart_20_11_1_12" localSheetId="34">#REF!</definedName>
    <definedName name="kitart_20_11_1_12">#REF!</definedName>
    <definedName name="kitart_20_11_1_2" localSheetId="34">#REF!</definedName>
    <definedName name="kitart_20_11_1_2">#REF!</definedName>
    <definedName name="kitart_20_11_1_7" localSheetId="34">#REF!</definedName>
    <definedName name="kitart_20_11_1_7">#REF!</definedName>
    <definedName name="kitart_20_11_1_8" localSheetId="34">#REF!</definedName>
    <definedName name="kitart_20_11_1_8">#REF!</definedName>
    <definedName name="kitart_20_11_12" localSheetId="34">#REF!</definedName>
    <definedName name="kitart_20_11_12">#REF!</definedName>
    <definedName name="kitart_20_11_3" localSheetId="34">#REF!</definedName>
    <definedName name="kitart_20_11_3">#REF!</definedName>
    <definedName name="kitart_20_11_3_12" localSheetId="34">#REF!</definedName>
    <definedName name="kitart_20_11_3_12">#REF!</definedName>
    <definedName name="kitart_20_11_3_2" localSheetId="34">#REF!</definedName>
    <definedName name="kitart_20_11_3_2">#REF!</definedName>
    <definedName name="kitart_20_11_3_7" localSheetId="34">#REF!</definedName>
    <definedName name="kitart_20_11_3_7">#REF!</definedName>
    <definedName name="kitart_20_11_3_8" localSheetId="34">#REF!</definedName>
    <definedName name="kitart_20_11_3_8">#REF!</definedName>
    <definedName name="kitart_20_11_5" localSheetId="34">#REF!</definedName>
    <definedName name="kitart_20_11_5">#REF!</definedName>
    <definedName name="kitart_20_11_5_12" localSheetId="34">#REF!</definedName>
    <definedName name="kitart_20_11_5_12">#REF!</definedName>
    <definedName name="kitart_20_11_5_2" localSheetId="34">#REF!</definedName>
    <definedName name="kitart_20_11_5_2">#REF!</definedName>
    <definedName name="kitart_20_11_5_7" localSheetId="34">#REF!</definedName>
    <definedName name="kitart_20_11_5_7">#REF!</definedName>
    <definedName name="kitart_20_11_5_8" localSheetId="34">#REF!</definedName>
    <definedName name="kitart_20_11_5_8">#REF!</definedName>
    <definedName name="kitart_20_11_7" localSheetId="34">#REF!</definedName>
    <definedName name="kitart_20_11_7">#REF!</definedName>
    <definedName name="kitart_20_11_8" localSheetId="34">#REF!</definedName>
    <definedName name="kitart_20_11_8">#REF!</definedName>
    <definedName name="kitart_20_12" localSheetId="5">#REF!</definedName>
    <definedName name="kitart_20_12" localSheetId="34">#REF!</definedName>
    <definedName name="kitart_20_12">#REF!</definedName>
    <definedName name="kitart_20_12_1">NA()</definedName>
    <definedName name="kitart_20_12_10" localSheetId="34">#REF!</definedName>
    <definedName name="kitart_20_12_10" localSheetId="8">#REF!</definedName>
    <definedName name="kitart_20_12_10">#REF!</definedName>
    <definedName name="kitart_20_12_10_12" localSheetId="34">#REF!</definedName>
    <definedName name="kitart_20_12_10_12">#REF!</definedName>
    <definedName name="kitart_20_12_10_7" localSheetId="34">#REF!</definedName>
    <definedName name="kitart_20_12_10_7">#REF!</definedName>
    <definedName name="kitart_20_12_10_8" localSheetId="34">#REF!</definedName>
    <definedName name="kitart_20_12_10_8">#REF!</definedName>
    <definedName name="kitart_20_12_12" localSheetId="34">#REF!</definedName>
    <definedName name="kitart_20_12_12">#REF!</definedName>
    <definedName name="kitart_20_12_7" localSheetId="34">#REF!</definedName>
    <definedName name="kitart_20_12_7">#REF!</definedName>
    <definedName name="kitart_20_12_8" localSheetId="34">#REF!</definedName>
    <definedName name="kitart_20_12_8">#REF!</definedName>
    <definedName name="kitart_20_2" localSheetId="34">#REF!</definedName>
    <definedName name="kitart_20_2">#REF!</definedName>
    <definedName name="kitart_20_3" localSheetId="34">#REF!</definedName>
    <definedName name="kitart_20_3">#REF!</definedName>
    <definedName name="kitart_20_4" localSheetId="34">#REF!</definedName>
    <definedName name="kitart_20_4">#REF!</definedName>
    <definedName name="kitart_20_7" localSheetId="34">#REF!</definedName>
    <definedName name="kitart_20_7">#REF!</definedName>
    <definedName name="kitart_20_8" localSheetId="34">#REF!</definedName>
    <definedName name="kitart_20_8">#REF!</definedName>
    <definedName name="kitart_20_9" localSheetId="34">#REF!</definedName>
    <definedName name="kitart_20_9">#REF!</definedName>
    <definedName name="kitart_20_9_1">NA()</definedName>
    <definedName name="kitart_20_9_12" localSheetId="34">#REF!</definedName>
    <definedName name="kitart_20_9_12" localSheetId="8">#REF!</definedName>
    <definedName name="kitart_20_9_12">#REF!</definedName>
    <definedName name="kitart_20_9_7" localSheetId="34">#REF!</definedName>
    <definedName name="kitart_20_9_7">#REF!</definedName>
    <definedName name="kitart_20_9_8" localSheetId="34">#REF!</definedName>
    <definedName name="kitart_20_9_8">#REF!</definedName>
    <definedName name="kitart_3" localSheetId="34">#REF!</definedName>
    <definedName name="kitart_3">#REF!</definedName>
    <definedName name="kitart_4" localSheetId="34">#REF!</definedName>
    <definedName name="kitart_4">#REF!</definedName>
    <definedName name="kitart_7" localSheetId="34">#REF!</definedName>
    <definedName name="kitart_7">#REF!</definedName>
    <definedName name="kitart_8" localSheetId="34">#REF!</definedName>
    <definedName name="kitart_8">#REF!</definedName>
    <definedName name="kitart_9" localSheetId="34">#REF!</definedName>
    <definedName name="kitart_9">#REF!</definedName>
    <definedName name="kitart_9_1">NA()</definedName>
    <definedName name="kitart_9_12" localSheetId="34">#REF!</definedName>
    <definedName name="kitart_9_12" localSheetId="8">#REF!</definedName>
    <definedName name="kitart_9_12">#REF!</definedName>
    <definedName name="kitart_9_7" localSheetId="34">#REF!</definedName>
    <definedName name="kitart_9_7">#REF!</definedName>
    <definedName name="kitart_9_8" localSheetId="34">#REF!</definedName>
    <definedName name="kitart_9_8">#REF!</definedName>
    <definedName name="kkk" localSheetId="5">#REF!</definedName>
    <definedName name="kkk" localSheetId="34">#REF!</definedName>
    <definedName name="kkk">#REF!</definedName>
    <definedName name="kkk_1" localSheetId="34">#REF!</definedName>
    <definedName name="kkk_1">#REF!</definedName>
    <definedName name="kkk_10" localSheetId="34">#REF!</definedName>
    <definedName name="kkk_10">#REF!</definedName>
    <definedName name="kkk_10_12" localSheetId="34">#REF!</definedName>
    <definedName name="kkk_10_12">#REF!</definedName>
    <definedName name="kkk_10_7" localSheetId="34">#REF!</definedName>
    <definedName name="kkk_10_7">#REF!</definedName>
    <definedName name="kkk_10_8" localSheetId="34">#REF!</definedName>
    <definedName name="kkk_10_8">#REF!</definedName>
    <definedName name="kkk_11" localSheetId="34">#REF!</definedName>
    <definedName name="kkk_11">#REF!</definedName>
    <definedName name="kkk_11_1" localSheetId="34">#REF!</definedName>
    <definedName name="kkk_11_1">#REF!</definedName>
    <definedName name="kkk_11_1_1" localSheetId="34">#REF!</definedName>
    <definedName name="kkk_11_1_1">#REF!</definedName>
    <definedName name="kkk_11_1_1_1">NA()</definedName>
    <definedName name="kkk_11_1_1_12" localSheetId="34">#REF!</definedName>
    <definedName name="kkk_11_1_1_12" localSheetId="8">#REF!</definedName>
    <definedName name="kkk_11_1_1_12">#REF!</definedName>
    <definedName name="kkk_11_1_1_2" localSheetId="34">#REF!</definedName>
    <definedName name="kkk_11_1_1_2">#REF!</definedName>
    <definedName name="kkk_11_1_1_7" localSheetId="34">#REF!</definedName>
    <definedName name="kkk_11_1_1_7">#REF!</definedName>
    <definedName name="kkk_11_1_1_8" localSheetId="34">#REF!</definedName>
    <definedName name="kkk_11_1_1_8">#REF!</definedName>
    <definedName name="kkk_11_1_12" localSheetId="34">#REF!</definedName>
    <definedName name="kkk_11_1_12">#REF!</definedName>
    <definedName name="kkk_11_1_2" localSheetId="34">#REF!</definedName>
    <definedName name="kkk_11_1_2">#REF!</definedName>
    <definedName name="kkk_11_1_7" localSheetId="34">#REF!</definedName>
    <definedName name="kkk_11_1_7">#REF!</definedName>
    <definedName name="kkk_11_1_8" localSheetId="34">#REF!</definedName>
    <definedName name="kkk_11_1_8">#REF!</definedName>
    <definedName name="kkk_11_12" localSheetId="34">#REF!</definedName>
    <definedName name="kkk_11_12">#REF!</definedName>
    <definedName name="kkk_11_3" localSheetId="34">#REF!</definedName>
    <definedName name="kkk_11_3">#REF!</definedName>
    <definedName name="kkk_11_3_12" localSheetId="34">#REF!</definedName>
    <definedName name="kkk_11_3_12">#REF!</definedName>
    <definedName name="kkk_11_3_2" localSheetId="34">#REF!</definedName>
    <definedName name="kkk_11_3_2">#REF!</definedName>
    <definedName name="kkk_11_3_7" localSheetId="34">#REF!</definedName>
    <definedName name="kkk_11_3_7">#REF!</definedName>
    <definedName name="kkk_11_3_8" localSheetId="34">#REF!</definedName>
    <definedName name="kkk_11_3_8">#REF!</definedName>
    <definedName name="kkk_11_5" localSheetId="34">#REF!</definedName>
    <definedName name="kkk_11_5">#REF!</definedName>
    <definedName name="kkk_11_5_12" localSheetId="34">#REF!</definedName>
    <definedName name="kkk_11_5_12">#REF!</definedName>
    <definedName name="kkk_11_5_2" localSheetId="34">#REF!</definedName>
    <definedName name="kkk_11_5_2">#REF!</definedName>
    <definedName name="kkk_11_5_7" localSheetId="34">#REF!</definedName>
    <definedName name="kkk_11_5_7">#REF!</definedName>
    <definedName name="kkk_11_5_8" localSheetId="34">#REF!</definedName>
    <definedName name="kkk_11_5_8">#REF!</definedName>
    <definedName name="kkk_11_7" localSheetId="34">#REF!</definedName>
    <definedName name="kkk_11_7">#REF!</definedName>
    <definedName name="kkk_11_8" localSheetId="34">#REF!</definedName>
    <definedName name="kkk_11_8">#REF!</definedName>
    <definedName name="kkk_12" localSheetId="5">#REF!</definedName>
    <definedName name="kkk_12" localSheetId="34">#REF!</definedName>
    <definedName name="kkk_12">#REF!</definedName>
    <definedName name="kkk_12_1">NA()</definedName>
    <definedName name="kkk_12_10" localSheetId="34">#REF!</definedName>
    <definedName name="kkk_12_10" localSheetId="8">#REF!</definedName>
    <definedName name="kkk_12_10">#REF!</definedName>
    <definedName name="kkk_12_10_12" localSheetId="34">#REF!</definedName>
    <definedName name="kkk_12_10_12">#REF!</definedName>
    <definedName name="kkk_12_10_7" localSheetId="34">#REF!</definedName>
    <definedName name="kkk_12_10_7">#REF!</definedName>
    <definedName name="kkk_12_10_8" localSheetId="34">#REF!</definedName>
    <definedName name="kkk_12_10_8">#REF!</definedName>
    <definedName name="kkk_12_12" localSheetId="34">#REF!</definedName>
    <definedName name="kkk_12_12">#REF!</definedName>
    <definedName name="kkk_12_7" localSheetId="34">#REF!</definedName>
    <definedName name="kkk_12_7">#REF!</definedName>
    <definedName name="kkk_12_8" localSheetId="34">#REF!</definedName>
    <definedName name="kkk_12_8">#REF!</definedName>
    <definedName name="kkk_2" localSheetId="5">#REF!</definedName>
    <definedName name="kkk_2" localSheetId="34">#REF!</definedName>
    <definedName name="kkk_2">#REF!</definedName>
    <definedName name="kkk_2_1" localSheetId="34">#REF!</definedName>
    <definedName name="kkk_2_1">#REF!</definedName>
    <definedName name="kkk_2_1_1" localSheetId="34">#REF!</definedName>
    <definedName name="kkk_2_1_1">#REF!</definedName>
    <definedName name="kkk_2_10" localSheetId="34">#REF!</definedName>
    <definedName name="kkk_2_10">#REF!</definedName>
    <definedName name="kkk_2_10_12" localSheetId="34">#REF!</definedName>
    <definedName name="kkk_2_10_12">#REF!</definedName>
    <definedName name="kkk_2_10_7" localSheetId="34">#REF!</definedName>
    <definedName name="kkk_2_10_7">#REF!</definedName>
    <definedName name="kkk_2_10_8" localSheetId="34">#REF!</definedName>
    <definedName name="kkk_2_10_8">#REF!</definedName>
    <definedName name="kkk_2_11" localSheetId="34">#REF!</definedName>
    <definedName name="kkk_2_11">#REF!</definedName>
    <definedName name="kkk_2_11_1" localSheetId="34">#REF!</definedName>
    <definedName name="kkk_2_11_1">#REF!</definedName>
    <definedName name="kkk_2_11_1_1" localSheetId="34">#REF!</definedName>
    <definedName name="kkk_2_11_1_1">#REF!</definedName>
    <definedName name="kkk_2_11_1_1_1">NA()</definedName>
    <definedName name="kkk_2_11_1_1_12" localSheetId="34">#REF!</definedName>
    <definedName name="kkk_2_11_1_1_12" localSheetId="8">#REF!</definedName>
    <definedName name="kkk_2_11_1_1_12">#REF!</definedName>
    <definedName name="kkk_2_11_1_1_2" localSheetId="34">#REF!</definedName>
    <definedName name="kkk_2_11_1_1_2">#REF!</definedName>
    <definedName name="kkk_2_11_1_1_7" localSheetId="34">#REF!</definedName>
    <definedName name="kkk_2_11_1_1_7">#REF!</definedName>
    <definedName name="kkk_2_11_1_1_8" localSheetId="34">#REF!</definedName>
    <definedName name="kkk_2_11_1_1_8">#REF!</definedName>
    <definedName name="kkk_2_11_1_12" localSheetId="34">#REF!</definedName>
    <definedName name="kkk_2_11_1_12">#REF!</definedName>
    <definedName name="kkk_2_11_1_2" localSheetId="34">#REF!</definedName>
    <definedName name="kkk_2_11_1_2">#REF!</definedName>
    <definedName name="kkk_2_11_1_7" localSheetId="34">#REF!</definedName>
    <definedName name="kkk_2_11_1_7">#REF!</definedName>
    <definedName name="kkk_2_11_1_8" localSheetId="34">#REF!</definedName>
    <definedName name="kkk_2_11_1_8">#REF!</definedName>
    <definedName name="kkk_2_11_12" localSheetId="34">#REF!</definedName>
    <definedName name="kkk_2_11_12">#REF!</definedName>
    <definedName name="kkk_2_11_3" localSheetId="34">#REF!</definedName>
    <definedName name="kkk_2_11_3">#REF!</definedName>
    <definedName name="kkk_2_11_3_12" localSheetId="34">#REF!</definedName>
    <definedName name="kkk_2_11_3_12">#REF!</definedName>
    <definedName name="kkk_2_11_3_2" localSheetId="34">#REF!</definedName>
    <definedName name="kkk_2_11_3_2">#REF!</definedName>
    <definedName name="kkk_2_11_3_7" localSheetId="34">#REF!</definedName>
    <definedName name="kkk_2_11_3_7">#REF!</definedName>
    <definedName name="kkk_2_11_3_8" localSheetId="34">#REF!</definedName>
    <definedName name="kkk_2_11_3_8">#REF!</definedName>
    <definedName name="kkk_2_11_5" localSheetId="34">#REF!</definedName>
    <definedName name="kkk_2_11_5">#REF!</definedName>
    <definedName name="kkk_2_11_5_12" localSheetId="34">#REF!</definedName>
    <definedName name="kkk_2_11_5_12">#REF!</definedName>
    <definedName name="kkk_2_11_5_2" localSheetId="34">#REF!</definedName>
    <definedName name="kkk_2_11_5_2">#REF!</definedName>
    <definedName name="kkk_2_11_5_7" localSheetId="34">#REF!</definedName>
    <definedName name="kkk_2_11_5_7">#REF!</definedName>
    <definedName name="kkk_2_11_5_8" localSheetId="34">#REF!</definedName>
    <definedName name="kkk_2_11_5_8">#REF!</definedName>
    <definedName name="kkk_2_11_7" localSheetId="34">#REF!</definedName>
    <definedName name="kkk_2_11_7">#REF!</definedName>
    <definedName name="kkk_2_11_8" localSheetId="34">#REF!</definedName>
    <definedName name="kkk_2_11_8">#REF!</definedName>
    <definedName name="kkk_2_12" localSheetId="34">#REF!</definedName>
    <definedName name="kkk_2_12">#REF!</definedName>
    <definedName name="kkk_2_2" localSheetId="34">#REF!</definedName>
    <definedName name="kkk_2_2">#REF!</definedName>
    <definedName name="kkk_2_3" localSheetId="34">#REF!</definedName>
    <definedName name="kkk_2_3">#REF!</definedName>
    <definedName name="kkk_2_4" localSheetId="34">#REF!</definedName>
    <definedName name="kkk_2_4">#REF!</definedName>
    <definedName name="kkk_2_7" localSheetId="34">#REF!</definedName>
    <definedName name="kkk_2_7">#REF!</definedName>
    <definedName name="kkk_2_8" localSheetId="34">#REF!</definedName>
    <definedName name="kkk_2_8">#REF!</definedName>
    <definedName name="kkk_20" localSheetId="5">#REF!</definedName>
    <definedName name="kkk_20" localSheetId="34">#REF!</definedName>
    <definedName name="kkk_20">#REF!</definedName>
    <definedName name="kkk_20_1" localSheetId="34">#REF!</definedName>
    <definedName name="kkk_20_1">#REF!</definedName>
    <definedName name="kkk_20_10" localSheetId="34">#REF!</definedName>
    <definedName name="kkk_20_10">#REF!</definedName>
    <definedName name="kkk_20_10_12" localSheetId="34">#REF!</definedName>
    <definedName name="kkk_20_10_12">#REF!</definedName>
    <definedName name="kkk_20_10_7" localSheetId="34">#REF!</definedName>
    <definedName name="kkk_20_10_7">#REF!</definedName>
    <definedName name="kkk_20_10_8" localSheetId="34">#REF!</definedName>
    <definedName name="kkk_20_10_8">#REF!</definedName>
    <definedName name="kkk_20_11" localSheetId="34">#REF!</definedName>
    <definedName name="kkk_20_11">#REF!</definedName>
    <definedName name="kkk_20_11_1" localSheetId="34">#REF!</definedName>
    <definedName name="kkk_20_11_1">#REF!</definedName>
    <definedName name="kkk_20_11_1_1" localSheetId="34">#REF!</definedName>
    <definedName name="kkk_20_11_1_1">#REF!</definedName>
    <definedName name="kkk_20_11_1_1_1">NA()</definedName>
    <definedName name="kkk_20_11_1_1_12" localSheetId="34">#REF!</definedName>
    <definedName name="kkk_20_11_1_1_12" localSheetId="8">#REF!</definedName>
    <definedName name="kkk_20_11_1_1_12">#REF!</definedName>
    <definedName name="kkk_20_11_1_1_2" localSheetId="34">#REF!</definedName>
    <definedName name="kkk_20_11_1_1_2">#REF!</definedName>
    <definedName name="kkk_20_11_1_1_7" localSheetId="34">#REF!</definedName>
    <definedName name="kkk_20_11_1_1_7">#REF!</definedName>
    <definedName name="kkk_20_11_1_1_8" localSheetId="34">#REF!</definedName>
    <definedName name="kkk_20_11_1_1_8">#REF!</definedName>
    <definedName name="kkk_20_11_1_12" localSheetId="34">#REF!</definedName>
    <definedName name="kkk_20_11_1_12">#REF!</definedName>
    <definedName name="kkk_20_11_1_2" localSheetId="34">#REF!</definedName>
    <definedName name="kkk_20_11_1_2">#REF!</definedName>
    <definedName name="kkk_20_11_1_7" localSheetId="34">#REF!</definedName>
    <definedName name="kkk_20_11_1_7">#REF!</definedName>
    <definedName name="kkk_20_11_1_8" localSheetId="34">#REF!</definedName>
    <definedName name="kkk_20_11_1_8">#REF!</definedName>
    <definedName name="kkk_20_11_12" localSheetId="34">#REF!</definedName>
    <definedName name="kkk_20_11_12">#REF!</definedName>
    <definedName name="kkk_20_11_3" localSheetId="34">#REF!</definedName>
    <definedName name="kkk_20_11_3">#REF!</definedName>
    <definedName name="kkk_20_11_3_12" localSheetId="34">#REF!</definedName>
    <definedName name="kkk_20_11_3_12">#REF!</definedName>
    <definedName name="kkk_20_11_3_2" localSheetId="34">#REF!</definedName>
    <definedName name="kkk_20_11_3_2">#REF!</definedName>
    <definedName name="kkk_20_11_3_7" localSheetId="34">#REF!</definedName>
    <definedName name="kkk_20_11_3_7">#REF!</definedName>
    <definedName name="kkk_20_11_3_8" localSheetId="34">#REF!</definedName>
    <definedName name="kkk_20_11_3_8">#REF!</definedName>
    <definedName name="kkk_20_11_5" localSheetId="34">#REF!</definedName>
    <definedName name="kkk_20_11_5">#REF!</definedName>
    <definedName name="kkk_20_11_5_12" localSheetId="34">#REF!</definedName>
    <definedName name="kkk_20_11_5_12">#REF!</definedName>
    <definedName name="kkk_20_11_5_2" localSheetId="34">#REF!</definedName>
    <definedName name="kkk_20_11_5_2">#REF!</definedName>
    <definedName name="kkk_20_11_5_7" localSheetId="34">#REF!</definedName>
    <definedName name="kkk_20_11_5_7">#REF!</definedName>
    <definedName name="kkk_20_11_5_8" localSheetId="34">#REF!</definedName>
    <definedName name="kkk_20_11_5_8">#REF!</definedName>
    <definedName name="kkk_20_11_7" localSheetId="34">#REF!</definedName>
    <definedName name="kkk_20_11_7">#REF!</definedName>
    <definedName name="kkk_20_11_8" localSheetId="34">#REF!</definedName>
    <definedName name="kkk_20_11_8">#REF!</definedName>
    <definedName name="kkk_20_12" localSheetId="5">#REF!</definedName>
    <definedName name="kkk_20_12" localSheetId="34">#REF!</definedName>
    <definedName name="kkk_20_12">#REF!</definedName>
    <definedName name="kkk_20_12_1">NA()</definedName>
    <definedName name="kkk_20_12_10" localSheetId="34">#REF!</definedName>
    <definedName name="kkk_20_12_10" localSheetId="8">#REF!</definedName>
    <definedName name="kkk_20_12_10">#REF!</definedName>
    <definedName name="kkk_20_12_10_12" localSheetId="34">#REF!</definedName>
    <definedName name="kkk_20_12_10_12">#REF!</definedName>
    <definedName name="kkk_20_12_10_7" localSheetId="34">#REF!</definedName>
    <definedName name="kkk_20_12_10_7">#REF!</definedName>
    <definedName name="kkk_20_12_10_8" localSheetId="34">#REF!</definedName>
    <definedName name="kkk_20_12_10_8">#REF!</definedName>
    <definedName name="kkk_20_12_12" localSheetId="34">#REF!</definedName>
    <definedName name="kkk_20_12_12">#REF!</definedName>
    <definedName name="kkk_20_12_7" localSheetId="34">#REF!</definedName>
    <definedName name="kkk_20_12_7">#REF!</definedName>
    <definedName name="kkk_20_12_8" localSheetId="34">#REF!</definedName>
    <definedName name="kkk_20_12_8">#REF!</definedName>
    <definedName name="kkk_20_2" localSheetId="34">#REF!</definedName>
    <definedName name="kkk_20_2">#REF!</definedName>
    <definedName name="kkk_20_3" localSheetId="34">#REF!</definedName>
    <definedName name="kkk_20_3">#REF!</definedName>
    <definedName name="kkk_20_4" localSheetId="34">#REF!</definedName>
    <definedName name="kkk_20_4">#REF!</definedName>
    <definedName name="kkk_20_7" localSheetId="34">#REF!</definedName>
    <definedName name="kkk_20_7">#REF!</definedName>
    <definedName name="kkk_20_8" localSheetId="34">#REF!</definedName>
    <definedName name="kkk_20_8">#REF!</definedName>
    <definedName name="kkk_20_9" localSheetId="34">#REF!</definedName>
    <definedName name="kkk_20_9">#REF!</definedName>
    <definedName name="kkk_20_9_1">NA()</definedName>
    <definedName name="kkk_20_9_12" localSheetId="34">#REF!</definedName>
    <definedName name="kkk_20_9_12" localSheetId="8">#REF!</definedName>
    <definedName name="kkk_20_9_12">#REF!</definedName>
    <definedName name="kkk_20_9_7" localSheetId="34">#REF!</definedName>
    <definedName name="kkk_20_9_7">#REF!</definedName>
    <definedName name="kkk_20_9_8" localSheetId="34">#REF!</definedName>
    <definedName name="kkk_20_9_8">#REF!</definedName>
    <definedName name="kkk_3" localSheetId="34">#REF!</definedName>
    <definedName name="kkk_3">#REF!</definedName>
    <definedName name="kkk_4" localSheetId="34">#REF!</definedName>
    <definedName name="kkk_4">#REF!</definedName>
    <definedName name="kkk_7" localSheetId="34">#REF!</definedName>
    <definedName name="kkk_7">#REF!</definedName>
    <definedName name="kkk_8" localSheetId="34">#REF!</definedName>
    <definedName name="kkk_8">#REF!</definedName>
    <definedName name="kkk_9" localSheetId="34">#REF!</definedName>
    <definedName name="kkk_9">#REF!</definedName>
    <definedName name="kkk_9_1">NA()</definedName>
    <definedName name="kkk_9_12" localSheetId="34">#REF!</definedName>
    <definedName name="kkk_9_12" localSheetId="8">#REF!</definedName>
    <definedName name="kkk_9_12">#REF!</definedName>
    <definedName name="kkk_9_7" localSheetId="34">#REF!</definedName>
    <definedName name="kkk_9_7">#REF!</definedName>
    <definedName name="kkk_9_8" localSheetId="34">#REF!</definedName>
    <definedName name="kkk_9_8">#REF!</definedName>
    <definedName name="kkkk" localSheetId="34">#REF!</definedName>
    <definedName name="kkkk">#REF!</definedName>
    <definedName name="KOTO0403" localSheetId="5">#REF!</definedName>
    <definedName name="KOTO0403" localSheetId="34">#REF!</definedName>
    <definedName name="KOTO0403">#REF!</definedName>
    <definedName name="KOTO0403_1" localSheetId="34">#REF!</definedName>
    <definedName name="KOTO0403_1">#REF!</definedName>
    <definedName name="KOTO0403_10" localSheetId="34">#REF!</definedName>
    <definedName name="KOTO0403_10">#REF!</definedName>
    <definedName name="KOTO0403_10_12" localSheetId="34">#REF!</definedName>
    <definedName name="KOTO0403_10_12">#REF!</definedName>
    <definedName name="KOTO0403_10_7" localSheetId="34">#REF!</definedName>
    <definedName name="KOTO0403_10_7">#REF!</definedName>
    <definedName name="KOTO0403_10_8" localSheetId="34">#REF!</definedName>
    <definedName name="KOTO0403_10_8">#REF!</definedName>
    <definedName name="KOTO0403_11" localSheetId="34">#REF!</definedName>
    <definedName name="KOTO0403_11">#REF!</definedName>
    <definedName name="KOTO0403_11_1" localSheetId="34">#REF!</definedName>
    <definedName name="KOTO0403_11_1">#REF!</definedName>
    <definedName name="KOTO0403_11_1_1" localSheetId="34">#REF!</definedName>
    <definedName name="KOTO0403_11_1_1">#REF!</definedName>
    <definedName name="KOTO0403_11_1_1_1">NA()</definedName>
    <definedName name="KOTO0403_11_1_1_12" localSheetId="34">#REF!</definedName>
    <definedName name="KOTO0403_11_1_1_12" localSheetId="8">#REF!</definedName>
    <definedName name="KOTO0403_11_1_1_12">#REF!</definedName>
    <definedName name="KOTO0403_11_1_1_2" localSheetId="34">#REF!</definedName>
    <definedName name="KOTO0403_11_1_1_2">#REF!</definedName>
    <definedName name="KOTO0403_11_1_1_7" localSheetId="34">#REF!</definedName>
    <definedName name="KOTO0403_11_1_1_7">#REF!</definedName>
    <definedName name="KOTO0403_11_1_1_8" localSheetId="34">#REF!</definedName>
    <definedName name="KOTO0403_11_1_1_8">#REF!</definedName>
    <definedName name="KOTO0403_11_1_12" localSheetId="34">#REF!</definedName>
    <definedName name="KOTO0403_11_1_12">#REF!</definedName>
    <definedName name="KOTO0403_11_1_2" localSheetId="34">#REF!</definedName>
    <definedName name="KOTO0403_11_1_2">#REF!</definedName>
    <definedName name="KOTO0403_11_1_7" localSheetId="34">#REF!</definedName>
    <definedName name="KOTO0403_11_1_7">#REF!</definedName>
    <definedName name="KOTO0403_11_1_8" localSheetId="34">#REF!</definedName>
    <definedName name="KOTO0403_11_1_8">#REF!</definedName>
    <definedName name="KOTO0403_11_12" localSheetId="34">#REF!</definedName>
    <definedName name="KOTO0403_11_12">#REF!</definedName>
    <definedName name="KOTO0403_11_3" localSheetId="34">#REF!</definedName>
    <definedName name="KOTO0403_11_3">#REF!</definedName>
    <definedName name="KOTO0403_11_3_12" localSheetId="34">#REF!</definedName>
    <definedName name="KOTO0403_11_3_12">#REF!</definedName>
    <definedName name="KOTO0403_11_3_2" localSheetId="34">#REF!</definedName>
    <definedName name="KOTO0403_11_3_2">#REF!</definedName>
    <definedName name="KOTO0403_11_3_7" localSheetId="34">#REF!</definedName>
    <definedName name="KOTO0403_11_3_7">#REF!</definedName>
    <definedName name="KOTO0403_11_3_8" localSheetId="34">#REF!</definedName>
    <definedName name="KOTO0403_11_3_8">#REF!</definedName>
    <definedName name="KOTO0403_11_5" localSheetId="34">#REF!</definedName>
    <definedName name="KOTO0403_11_5">#REF!</definedName>
    <definedName name="KOTO0403_11_5_12" localSheetId="34">#REF!</definedName>
    <definedName name="KOTO0403_11_5_12">#REF!</definedName>
    <definedName name="KOTO0403_11_5_2" localSheetId="34">#REF!</definedName>
    <definedName name="KOTO0403_11_5_2">#REF!</definedName>
    <definedName name="KOTO0403_11_5_7" localSheetId="34">#REF!</definedName>
    <definedName name="KOTO0403_11_5_7">#REF!</definedName>
    <definedName name="KOTO0403_11_5_8" localSheetId="34">#REF!</definedName>
    <definedName name="KOTO0403_11_5_8">#REF!</definedName>
    <definedName name="KOTO0403_11_7" localSheetId="34">#REF!</definedName>
    <definedName name="KOTO0403_11_7">#REF!</definedName>
    <definedName name="KOTO0403_11_8" localSheetId="34">#REF!</definedName>
    <definedName name="KOTO0403_11_8">#REF!</definedName>
    <definedName name="KOTO0403_12" localSheetId="5">#REF!</definedName>
    <definedName name="KOTO0403_12" localSheetId="34">#REF!</definedName>
    <definedName name="KOTO0403_12">#REF!</definedName>
    <definedName name="KOTO0403_12_1">NA()</definedName>
    <definedName name="KOTO0403_12_10" localSheetId="34">#REF!</definedName>
    <definedName name="KOTO0403_12_10" localSheetId="8">#REF!</definedName>
    <definedName name="KOTO0403_12_10">#REF!</definedName>
    <definedName name="KOTO0403_12_10_12" localSheetId="34">#REF!</definedName>
    <definedName name="KOTO0403_12_10_12">#REF!</definedName>
    <definedName name="KOTO0403_12_10_7" localSheetId="34">#REF!</definedName>
    <definedName name="KOTO0403_12_10_7">#REF!</definedName>
    <definedName name="KOTO0403_12_10_8" localSheetId="34">#REF!</definedName>
    <definedName name="KOTO0403_12_10_8">#REF!</definedName>
    <definedName name="KOTO0403_12_12" localSheetId="34">#REF!</definedName>
    <definedName name="KOTO0403_12_12">#REF!</definedName>
    <definedName name="KOTO0403_12_7" localSheetId="34">#REF!</definedName>
    <definedName name="KOTO0403_12_7">#REF!</definedName>
    <definedName name="KOTO0403_12_8" localSheetId="34">#REF!</definedName>
    <definedName name="KOTO0403_12_8">#REF!</definedName>
    <definedName name="KOTO0403_2" localSheetId="5">#REF!</definedName>
    <definedName name="KOTO0403_2" localSheetId="34">#REF!</definedName>
    <definedName name="KOTO0403_2">#REF!</definedName>
    <definedName name="KOTO0403_2_1" localSheetId="34">#REF!</definedName>
    <definedName name="KOTO0403_2_1">#REF!</definedName>
    <definedName name="KOTO0403_2_1_1" localSheetId="34">#REF!</definedName>
    <definedName name="KOTO0403_2_1_1">#REF!</definedName>
    <definedName name="KOTO0403_2_10" localSheetId="34">#REF!</definedName>
    <definedName name="KOTO0403_2_10">#REF!</definedName>
    <definedName name="KOTO0403_2_10_12" localSheetId="34">#REF!</definedName>
    <definedName name="KOTO0403_2_10_12">#REF!</definedName>
    <definedName name="KOTO0403_2_10_7" localSheetId="34">#REF!</definedName>
    <definedName name="KOTO0403_2_10_7">#REF!</definedName>
    <definedName name="KOTO0403_2_10_8" localSheetId="34">#REF!</definedName>
    <definedName name="KOTO0403_2_10_8">#REF!</definedName>
    <definedName name="KOTO0403_2_11" localSheetId="34">#REF!</definedName>
    <definedName name="KOTO0403_2_11">#REF!</definedName>
    <definedName name="KOTO0403_2_11_1" localSheetId="34">#REF!</definedName>
    <definedName name="KOTO0403_2_11_1">#REF!</definedName>
    <definedName name="KOTO0403_2_11_1_1" localSheetId="34">#REF!</definedName>
    <definedName name="KOTO0403_2_11_1_1">#REF!</definedName>
    <definedName name="KOTO0403_2_11_1_1_1">NA()</definedName>
    <definedName name="KOTO0403_2_11_1_1_12" localSheetId="34">#REF!</definedName>
    <definedName name="KOTO0403_2_11_1_1_12" localSheetId="8">#REF!</definedName>
    <definedName name="KOTO0403_2_11_1_1_12">#REF!</definedName>
    <definedName name="KOTO0403_2_11_1_1_2" localSheetId="34">#REF!</definedName>
    <definedName name="KOTO0403_2_11_1_1_2">#REF!</definedName>
    <definedName name="KOTO0403_2_11_1_1_7" localSheetId="34">#REF!</definedName>
    <definedName name="KOTO0403_2_11_1_1_7">#REF!</definedName>
    <definedName name="KOTO0403_2_11_1_1_8" localSheetId="34">#REF!</definedName>
    <definedName name="KOTO0403_2_11_1_1_8">#REF!</definedName>
    <definedName name="KOTO0403_2_11_1_12" localSheetId="34">#REF!</definedName>
    <definedName name="KOTO0403_2_11_1_12">#REF!</definedName>
    <definedName name="KOTO0403_2_11_1_2" localSheetId="34">#REF!</definedName>
    <definedName name="KOTO0403_2_11_1_2">#REF!</definedName>
    <definedName name="KOTO0403_2_11_1_7" localSheetId="34">#REF!</definedName>
    <definedName name="KOTO0403_2_11_1_7">#REF!</definedName>
    <definedName name="KOTO0403_2_11_1_8" localSheetId="34">#REF!</definedName>
    <definedName name="KOTO0403_2_11_1_8">#REF!</definedName>
    <definedName name="KOTO0403_2_11_12" localSheetId="34">#REF!</definedName>
    <definedName name="KOTO0403_2_11_12">#REF!</definedName>
    <definedName name="KOTO0403_2_11_3" localSheetId="34">#REF!</definedName>
    <definedName name="KOTO0403_2_11_3">#REF!</definedName>
    <definedName name="KOTO0403_2_11_3_12" localSheetId="34">#REF!</definedName>
    <definedName name="KOTO0403_2_11_3_12">#REF!</definedName>
    <definedName name="KOTO0403_2_11_3_2" localSheetId="34">#REF!</definedName>
    <definedName name="KOTO0403_2_11_3_2">#REF!</definedName>
    <definedName name="KOTO0403_2_11_3_7" localSheetId="34">#REF!</definedName>
    <definedName name="KOTO0403_2_11_3_7">#REF!</definedName>
    <definedName name="KOTO0403_2_11_3_8" localSheetId="34">#REF!</definedName>
    <definedName name="KOTO0403_2_11_3_8">#REF!</definedName>
    <definedName name="KOTO0403_2_11_5" localSheetId="34">#REF!</definedName>
    <definedName name="KOTO0403_2_11_5">#REF!</definedName>
    <definedName name="KOTO0403_2_11_5_12" localSheetId="34">#REF!</definedName>
    <definedName name="KOTO0403_2_11_5_12">#REF!</definedName>
    <definedName name="KOTO0403_2_11_5_2" localSheetId="34">#REF!</definedName>
    <definedName name="KOTO0403_2_11_5_2">#REF!</definedName>
    <definedName name="KOTO0403_2_11_5_7" localSheetId="34">#REF!</definedName>
    <definedName name="KOTO0403_2_11_5_7">#REF!</definedName>
    <definedName name="KOTO0403_2_11_5_8" localSheetId="34">#REF!</definedName>
    <definedName name="KOTO0403_2_11_5_8">#REF!</definedName>
    <definedName name="KOTO0403_2_11_7" localSheetId="34">#REF!</definedName>
    <definedName name="KOTO0403_2_11_7">#REF!</definedName>
    <definedName name="KOTO0403_2_11_8" localSheetId="34">#REF!</definedName>
    <definedName name="KOTO0403_2_11_8">#REF!</definedName>
    <definedName name="KOTO0403_2_12" localSheetId="5">#REF!</definedName>
    <definedName name="KOTO0403_2_12" localSheetId="34">#REF!</definedName>
    <definedName name="KOTO0403_2_12">#REF!</definedName>
    <definedName name="KOTO0403_2_12_1">NA()</definedName>
    <definedName name="KOTO0403_2_12_10" localSheetId="34">#REF!</definedName>
    <definedName name="KOTO0403_2_12_10" localSheetId="8">#REF!</definedName>
    <definedName name="KOTO0403_2_12_10">#REF!</definedName>
    <definedName name="KOTO0403_2_12_10_12" localSheetId="34">#REF!</definedName>
    <definedName name="KOTO0403_2_12_10_12">#REF!</definedName>
    <definedName name="KOTO0403_2_12_10_7" localSheetId="34">#REF!</definedName>
    <definedName name="KOTO0403_2_12_10_7">#REF!</definedName>
    <definedName name="KOTO0403_2_12_10_8" localSheetId="34">#REF!</definedName>
    <definedName name="KOTO0403_2_12_10_8">#REF!</definedName>
    <definedName name="KOTO0403_2_12_12" localSheetId="34">#REF!</definedName>
    <definedName name="KOTO0403_2_12_12">#REF!</definedName>
    <definedName name="KOTO0403_2_12_7" localSheetId="34">#REF!</definedName>
    <definedName name="KOTO0403_2_12_7">#REF!</definedName>
    <definedName name="KOTO0403_2_12_8" localSheetId="34">#REF!</definedName>
    <definedName name="KOTO0403_2_12_8">#REF!</definedName>
    <definedName name="KOTO0403_2_2" localSheetId="34">#REF!</definedName>
    <definedName name="KOTO0403_2_2">#REF!</definedName>
    <definedName name="KOTO0403_2_3" localSheetId="34">#REF!</definedName>
    <definedName name="KOTO0403_2_3">#REF!</definedName>
    <definedName name="KOTO0403_2_4" localSheetId="34">#REF!</definedName>
    <definedName name="KOTO0403_2_4">#REF!</definedName>
    <definedName name="KOTO0403_2_7" localSheetId="34">#REF!</definedName>
    <definedName name="KOTO0403_2_7">#REF!</definedName>
    <definedName name="KOTO0403_2_8" localSheetId="34">#REF!</definedName>
    <definedName name="KOTO0403_2_8">#REF!</definedName>
    <definedName name="KOTO0403_2_9" localSheetId="34">#REF!</definedName>
    <definedName name="KOTO0403_2_9">#REF!</definedName>
    <definedName name="KOTO0403_2_9_1">NA()</definedName>
    <definedName name="KOTO0403_2_9_12" localSheetId="34">#REF!</definedName>
    <definedName name="KOTO0403_2_9_12" localSheetId="8">#REF!</definedName>
    <definedName name="KOTO0403_2_9_12">#REF!</definedName>
    <definedName name="KOTO0403_2_9_7" localSheetId="34">#REF!</definedName>
    <definedName name="KOTO0403_2_9_7">#REF!</definedName>
    <definedName name="KOTO0403_2_9_8" localSheetId="34">#REF!</definedName>
    <definedName name="KOTO0403_2_9_8">#REF!</definedName>
    <definedName name="KOTO0403_20" localSheetId="5">#REF!</definedName>
    <definedName name="KOTO0403_20" localSheetId="34">#REF!</definedName>
    <definedName name="KOTO0403_20">#REF!</definedName>
    <definedName name="KOTO0403_20_1" localSheetId="34">#REF!</definedName>
    <definedName name="KOTO0403_20_1">#REF!</definedName>
    <definedName name="KOTO0403_20_10" localSheetId="34">#REF!</definedName>
    <definedName name="KOTO0403_20_10">#REF!</definedName>
    <definedName name="KOTO0403_20_10_12" localSheetId="34">#REF!</definedName>
    <definedName name="KOTO0403_20_10_12">#REF!</definedName>
    <definedName name="KOTO0403_20_10_7" localSheetId="34">#REF!</definedName>
    <definedName name="KOTO0403_20_10_7">#REF!</definedName>
    <definedName name="KOTO0403_20_10_8" localSheetId="34">#REF!</definedName>
    <definedName name="KOTO0403_20_10_8">#REF!</definedName>
    <definedName name="KOTO0403_20_11" localSheetId="34">#REF!</definedName>
    <definedName name="KOTO0403_20_11">#REF!</definedName>
    <definedName name="KOTO0403_20_11_1" localSheetId="34">#REF!</definedName>
    <definedName name="KOTO0403_20_11_1">#REF!</definedName>
    <definedName name="KOTO0403_20_11_1_1" localSheetId="34">#REF!</definedName>
    <definedName name="KOTO0403_20_11_1_1">#REF!</definedName>
    <definedName name="KOTO0403_20_11_1_1_1">NA()</definedName>
    <definedName name="KOTO0403_20_11_1_1_12" localSheetId="34">#REF!</definedName>
    <definedName name="KOTO0403_20_11_1_1_12" localSheetId="8">#REF!</definedName>
    <definedName name="KOTO0403_20_11_1_1_12">#REF!</definedName>
    <definedName name="KOTO0403_20_11_1_1_2" localSheetId="34">#REF!</definedName>
    <definedName name="KOTO0403_20_11_1_1_2">#REF!</definedName>
    <definedName name="KOTO0403_20_11_1_1_7" localSheetId="34">#REF!</definedName>
    <definedName name="KOTO0403_20_11_1_1_7">#REF!</definedName>
    <definedName name="KOTO0403_20_11_1_1_8" localSheetId="34">#REF!</definedName>
    <definedName name="KOTO0403_20_11_1_1_8">#REF!</definedName>
    <definedName name="KOTO0403_20_11_1_12" localSheetId="34">#REF!</definedName>
    <definedName name="KOTO0403_20_11_1_12">#REF!</definedName>
    <definedName name="KOTO0403_20_11_1_2" localSheetId="34">#REF!</definedName>
    <definedName name="KOTO0403_20_11_1_2">#REF!</definedName>
    <definedName name="KOTO0403_20_11_1_7" localSheetId="34">#REF!</definedName>
    <definedName name="KOTO0403_20_11_1_7">#REF!</definedName>
    <definedName name="KOTO0403_20_11_1_8" localSheetId="34">#REF!</definedName>
    <definedName name="KOTO0403_20_11_1_8">#REF!</definedName>
    <definedName name="KOTO0403_20_11_12" localSheetId="34">#REF!</definedName>
    <definedName name="KOTO0403_20_11_12">#REF!</definedName>
    <definedName name="KOTO0403_20_11_3" localSheetId="34">#REF!</definedName>
    <definedName name="KOTO0403_20_11_3">#REF!</definedName>
    <definedName name="KOTO0403_20_11_3_12" localSheetId="34">#REF!</definedName>
    <definedName name="KOTO0403_20_11_3_12">#REF!</definedName>
    <definedName name="KOTO0403_20_11_3_2" localSheetId="34">#REF!</definedName>
    <definedName name="KOTO0403_20_11_3_2">#REF!</definedName>
    <definedName name="KOTO0403_20_11_3_7" localSheetId="34">#REF!</definedName>
    <definedName name="KOTO0403_20_11_3_7">#REF!</definedName>
    <definedName name="KOTO0403_20_11_3_8" localSheetId="34">#REF!</definedName>
    <definedName name="KOTO0403_20_11_3_8">#REF!</definedName>
    <definedName name="KOTO0403_20_11_5" localSheetId="34">#REF!</definedName>
    <definedName name="KOTO0403_20_11_5">#REF!</definedName>
    <definedName name="KOTO0403_20_11_5_12" localSheetId="34">#REF!</definedName>
    <definedName name="KOTO0403_20_11_5_12">#REF!</definedName>
    <definedName name="KOTO0403_20_11_5_2" localSheetId="34">#REF!</definedName>
    <definedName name="KOTO0403_20_11_5_2">#REF!</definedName>
    <definedName name="KOTO0403_20_11_5_7" localSheetId="34">#REF!</definedName>
    <definedName name="KOTO0403_20_11_5_7">#REF!</definedName>
    <definedName name="KOTO0403_20_11_5_8" localSheetId="34">#REF!</definedName>
    <definedName name="KOTO0403_20_11_5_8">#REF!</definedName>
    <definedName name="KOTO0403_20_11_7" localSheetId="34">#REF!</definedName>
    <definedName name="KOTO0403_20_11_7">#REF!</definedName>
    <definedName name="KOTO0403_20_11_8" localSheetId="34">#REF!</definedName>
    <definedName name="KOTO0403_20_11_8">#REF!</definedName>
    <definedName name="KOTO0403_20_12" localSheetId="5">#REF!</definedName>
    <definedName name="KOTO0403_20_12" localSheetId="34">#REF!</definedName>
    <definedName name="KOTO0403_20_12">#REF!</definedName>
    <definedName name="KOTO0403_20_12_1">NA()</definedName>
    <definedName name="KOTO0403_20_12_10" localSheetId="34">#REF!</definedName>
    <definedName name="KOTO0403_20_12_10" localSheetId="8">#REF!</definedName>
    <definedName name="KOTO0403_20_12_10">#REF!</definedName>
    <definedName name="KOTO0403_20_12_10_12" localSheetId="34">#REF!</definedName>
    <definedName name="KOTO0403_20_12_10_12">#REF!</definedName>
    <definedName name="KOTO0403_20_12_10_7" localSheetId="34">#REF!</definedName>
    <definedName name="KOTO0403_20_12_10_7">#REF!</definedName>
    <definedName name="KOTO0403_20_12_10_8" localSheetId="34">#REF!</definedName>
    <definedName name="KOTO0403_20_12_10_8">#REF!</definedName>
    <definedName name="KOTO0403_20_12_12" localSheetId="34">#REF!</definedName>
    <definedName name="KOTO0403_20_12_12">#REF!</definedName>
    <definedName name="KOTO0403_20_12_7" localSheetId="34">#REF!</definedName>
    <definedName name="KOTO0403_20_12_7">#REF!</definedName>
    <definedName name="KOTO0403_20_12_8" localSheetId="34">#REF!</definedName>
    <definedName name="KOTO0403_20_12_8">#REF!</definedName>
    <definedName name="KOTO0403_20_2" localSheetId="34">#REF!</definedName>
    <definedName name="KOTO0403_20_2">#REF!</definedName>
    <definedName name="KOTO0403_20_3" localSheetId="34">#REF!</definedName>
    <definedName name="KOTO0403_20_3">#REF!</definedName>
    <definedName name="KOTO0403_20_4" localSheetId="34">#REF!</definedName>
    <definedName name="KOTO0403_20_4">#REF!</definedName>
    <definedName name="KOTO0403_20_7" localSheetId="34">#REF!</definedName>
    <definedName name="KOTO0403_20_7">#REF!</definedName>
    <definedName name="KOTO0403_20_8" localSheetId="34">#REF!</definedName>
    <definedName name="KOTO0403_20_8">#REF!</definedName>
    <definedName name="KOTO0403_20_9" localSheetId="34">#REF!</definedName>
    <definedName name="KOTO0403_20_9">#REF!</definedName>
    <definedName name="KOTO0403_20_9_1">NA()</definedName>
    <definedName name="KOTO0403_20_9_12" localSheetId="34">#REF!</definedName>
    <definedName name="KOTO0403_20_9_12" localSheetId="8">#REF!</definedName>
    <definedName name="KOTO0403_20_9_12">#REF!</definedName>
    <definedName name="KOTO0403_20_9_7" localSheetId="34">#REF!</definedName>
    <definedName name="KOTO0403_20_9_7">#REF!</definedName>
    <definedName name="KOTO0403_20_9_8" localSheetId="34">#REF!</definedName>
    <definedName name="KOTO0403_20_9_8">#REF!</definedName>
    <definedName name="KOTO0403_3" localSheetId="34">#REF!</definedName>
    <definedName name="KOTO0403_3">#REF!</definedName>
    <definedName name="KOTO0403_4" localSheetId="34">#REF!</definedName>
    <definedName name="KOTO0403_4">#REF!</definedName>
    <definedName name="KOTO0403_7" localSheetId="34">#REF!</definedName>
    <definedName name="KOTO0403_7">#REF!</definedName>
    <definedName name="KOTO0403_8" localSheetId="34">#REF!</definedName>
    <definedName name="KOTO0403_8">#REF!</definedName>
    <definedName name="KOTO0403_9" localSheetId="34">#REF!</definedName>
    <definedName name="KOTO0403_9">#REF!</definedName>
    <definedName name="KOTO0403_9_1">NA()</definedName>
    <definedName name="KOTO0403_9_12" localSheetId="34">#REF!</definedName>
    <definedName name="KOTO0403_9_12" localSheetId="8">#REF!</definedName>
    <definedName name="KOTO0403_9_12">#REF!</definedName>
    <definedName name="KOTO0403_9_7" localSheetId="34">#REF!</definedName>
    <definedName name="KOTO0403_9_7">#REF!</definedName>
    <definedName name="KOTO0403_9_8" localSheetId="34">#REF!</definedName>
    <definedName name="KOTO0403_9_8">#REF!</definedName>
    <definedName name="mérlegek" localSheetId="34">#REF!</definedName>
    <definedName name="mérlegek">#REF!</definedName>
    <definedName name="mérlegek_1">NA()</definedName>
    <definedName name="mérlegek_12" localSheetId="34">#REF!</definedName>
    <definedName name="mérlegek_12" localSheetId="8">#REF!</definedName>
    <definedName name="mérlegek_12">#REF!</definedName>
    <definedName name="mérlegek_7" localSheetId="34">#REF!</definedName>
    <definedName name="mérlegek_7">#REF!</definedName>
    <definedName name="mérlegek_8" localSheetId="34">#REF!</definedName>
    <definedName name="mérlegek_8">#REF!</definedName>
    <definedName name="mm" localSheetId="34">#REF!</definedName>
    <definedName name="mm">#REF!</definedName>
    <definedName name="_xlnm.Print_Titles" localSheetId="0">'1.tábla'!$6:$6</definedName>
    <definedName name="_xlnm.Print_Titles" localSheetId="2">bérkomp.!$2:$2</definedName>
    <definedName name="_xlnm.Print_Titles" localSheetId="9">Beruházás!$6:$6</definedName>
    <definedName name="_xlnm.Print_Titles" localSheetId="10">Felújítás!$6:$6</definedName>
    <definedName name="_xlnm.Print_Titles" localSheetId="11">Int.felh!$5:$6</definedName>
    <definedName name="_xlnm.Print_Titles" localSheetId="5">'intézményi.részl.  '!$5:$6</definedName>
    <definedName name="_xlnm.Print_Titles" localSheetId="16">'közv.tám.'!$6:$6</definedName>
    <definedName name="_xlnm.Print_Titles" localSheetId="7">Szem.dologi!$4:$5</definedName>
    <definedName name="_xlnm.Print_Titles" localSheetId="8">'Szoc.rász.'!$4:$5</definedName>
    <definedName name="_xlnm.Print_Area" localSheetId="0">'1.tábla'!$A$1:$I$97</definedName>
    <definedName name="_xlnm.Print_Area" localSheetId="1">'2018-2020mérleg'!$A$1:$BD$26</definedName>
    <definedName name="_xlnm.Print_Area" localSheetId="2">bérkomp.!$A$1:$J$16</definedName>
    <definedName name="_xlnm.Print_Area" localSheetId="9">Beruházás!$A$1:$F$49</definedName>
    <definedName name="_xlnm.Print_Area" localSheetId="13">'Célf.'!$A$1:$E$16</definedName>
    <definedName name="_xlnm.Print_Area" localSheetId="32">'EFI Iroda'!$A$1:$D$20</definedName>
    <definedName name="_xlnm.Print_Area" localSheetId="18">'Ei.felh.ütem'!$A$1:$N$25</definedName>
    <definedName name="_xlnm.Print_Area" localSheetId="29">'Energetika II.'!$A$1:$D$19</definedName>
    <definedName name="_xlnm.Print_Area" localSheetId="10">Felújítás!$A$1:$F$25</definedName>
    <definedName name="_xlnm.Print_Area" localSheetId="11">Int.felh!$A$1:$G$34</definedName>
    <definedName name="_xlnm.Print_Area" localSheetId="5">'intézményi.részl.  '!$A$1:$BH$236</definedName>
    <definedName name="_xlnm.Print_Area" localSheetId="31">'Ipari park'!$A$1:$D$18</definedName>
    <definedName name="_xlnm.Print_Area" localSheetId="6">'Köt.nem köt.'!$A$1:$AA$28</definedName>
    <definedName name="_xlnm.Print_Area" localSheetId="4">'kötelező-nem köt '!$A$1:$AA$27</definedName>
    <definedName name="_xlnm.Print_Area" localSheetId="16">'közv.tám.'!$A$1:$I$44</definedName>
    <definedName name="_xlnm.Print_Area" localSheetId="3">kv.mérleg!$A$1:$AT$26</definedName>
    <definedName name="_xlnm.Print_Area" localSheetId="12">'Pe.átad., Kölcsönök'!$A$1:$X$56</definedName>
    <definedName name="_xlnm.Print_Area" localSheetId="7">Szem.dologi!$A$1:$AQ$92</definedName>
    <definedName name="_xlnm.Print_Area" localSheetId="8">'Szoc.rász.'!$A$1:$O$35</definedName>
    <definedName name="_xlnm.Print_Area" localSheetId="17">többéves!$A$1:$F$17</definedName>
    <definedName name="_xlnm.Print_Area" localSheetId="25">Zöldváros!$A$1:$D$19</definedName>
    <definedName name="PHbev" localSheetId="13">#REF!</definedName>
    <definedName name="PHbev" localSheetId="34">#REF!</definedName>
    <definedName name="PHbev" localSheetId="12">#REF!</definedName>
    <definedName name="PHbev" localSheetId="8">#REF!</definedName>
    <definedName name="PHbev">#REF!</definedName>
    <definedName name="PHbev_12" localSheetId="13">#REF!</definedName>
    <definedName name="PHbev_12" localSheetId="34">#REF!</definedName>
    <definedName name="PHbev_12" localSheetId="12">#REF!</definedName>
    <definedName name="PHbev_12">#REF!</definedName>
    <definedName name="PHbev_2" localSheetId="13">#REF!</definedName>
    <definedName name="PHbev_2" localSheetId="34">#REF!</definedName>
    <definedName name="PHbev_2" localSheetId="12">#REF!</definedName>
    <definedName name="PHbev_2">#REF!</definedName>
    <definedName name="PHbev_8" localSheetId="34">#REF!</definedName>
    <definedName name="PHbev_8">#REF!</definedName>
    <definedName name="tábla" localSheetId="34">#REF!</definedName>
    <definedName name="tábla">#REF!</definedName>
    <definedName name="új" localSheetId="34">#REF!</definedName>
    <definedName name="új">#REF!</definedName>
    <definedName name="új_12" localSheetId="34">#REF!</definedName>
    <definedName name="új_12">#REF!</definedName>
    <definedName name="új_2" localSheetId="34">#REF!</definedName>
    <definedName name="új_2">#REF!</definedName>
    <definedName name="új_8" localSheetId="34">#REF!</definedName>
    <definedName name="új_8">#REF!</definedName>
    <definedName name="új2" localSheetId="34">#REF!</definedName>
    <definedName name="új2">#REF!</definedName>
    <definedName name="új2_12" localSheetId="34">#REF!</definedName>
    <definedName name="új2_12">#REF!</definedName>
    <definedName name="új2_2" localSheetId="34">#REF!</definedName>
    <definedName name="új2_2">#REF!</definedName>
    <definedName name="új2_8" localSheetId="34">#REF!</definedName>
    <definedName name="új2_8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7" i="17" l="1"/>
  <c r="E21" i="17"/>
  <c r="E20" i="17"/>
  <c r="AJ58" i="1"/>
  <c r="AK58" i="1"/>
  <c r="AI58" i="1"/>
  <c r="AI57" i="1" s="1"/>
  <c r="AJ57" i="1"/>
  <c r="BG17" i="1"/>
  <c r="E18" i="17" l="1"/>
  <c r="D7" i="5" l="1"/>
  <c r="AK170" i="1"/>
  <c r="W11" i="4"/>
  <c r="W27" i="4"/>
  <c r="X12" i="4"/>
  <c r="AJ10" i="1" l="1"/>
  <c r="AJ16" i="1" l="1"/>
  <c r="AJ22" i="1"/>
  <c r="G15" i="75"/>
  <c r="F15" i="75"/>
  <c r="D15" i="75"/>
  <c r="C15" i="75"/>
  <c r="J14" i="75"/>
  <c r="I14" i="75"/>
  <c r="E14" i="75"/>
  <c r="B14" i="75"/>
  <c r="J13" i="75"/>
  <c r="I13" i="75"/>
  <c r="E13" i="75"/>
  <c r="B13" i="75"/>
  <c r="H13" i="75" s="1"/>
  <c r="J12" i="75"/>
  <c r="I12" i="75"/>
  <c r="E12" i="75"/>
  <c r="B12" i="75"/>
  <c r="H12" i="75" s="1"/>
  <c r="J11" i="75"/>
  <c r="I11" i="75"/>
  <c r="E11" i="75"/>
  <c r="B11" i="75"/>
  <c r="H11" i="75" s="1"/>
  <c r="J10" i="75"/>
  <c r="I10" i="75"/>
  <c r="E10" i="75"/>
  <c r="B10" i="75"/>
  <c r="J9" i="75"/>
  <c r="I9" i="75"/>
  <c r="E9" i="75"/>
  <c r="B9" i="75"/>
  <c r="J8" i="75"/>
  <c r="I8" i="75"/>
  <c r="E8" i="75"/>
  <c r="B8" i="75"/>
  <c r="H8" i="75" s="1"/>
  <c r="J7" i="75"/>
  <c r="I7" i="75"/>
  <c r="E7" i="75"/>
  <c r="B7" i="75"/>
  <c r="H7" i="75" s="1"/>
  <c r="J6" i="75"/>
  <c r="I6" i="75"/>
  <c r="E6" i="75"/>
  <c r="E15" i="75" s="1"/>
  <c r="B6" i="75"/>
  <c r="H6" i="75" s="1"/>
  <c r="B15" i="75" l="1"/>
  <c r="H9" i="75"/>
  <c r="H10" i="75"/>
  <c r="J15" i="75"/>
  <c r="I15" i="75"/>
  <c r="H15" i="75" l="1"/>
  <c r="W49" i="4"/>
  <c r="X48" i="4"/>
  <c r="X52" i="4"/>
  <c r="W52" i="4"/>
  <c r="BG57" i="1" s="1"/>
  <c r="X51" i="4"/>
  <c r="AT23" i="14" l="1"/>
  <c r="AS23" i="14"/>
  <c r="AS9" i="14"/>
  <c r="H44" i="2"/>
  <c r="I44" i="2"/>
  <c r="J44" i="2"/>
  <c r="K44" i="2"/>
  <c r="L44" i="2"/>
  <c r="M44" i="2"/>
  <c r="N44" i="2"/>
  <c r="O44" i="2"/>
  <c r="P44" i="2"/>
  <c r="R44" i="2"/>
  <c r="S44" i="2"/>
  <c r="T44" i="2"/>
  <c r="V44" i="2"/>
  <c r="W44" i="2"/>
  <c r="X44" i="2"/>
  <c r="Y44" i="2"/>
  <c r="AA44" i="2"/>
  <c r="AC44" i="2"/>
  <c r="AD44" i="2"/>
  <c r="AE44" i="2"/>
  <c r="AF44" i="2"/>
  <c r="AN44" i="2"/>
  <c r="G44" i="2"/>
  <c r="AO8" i="2"/>
  <c r="AJ114" i="1"/>
  <c r="AJ113" i="1" s="1"/>
  <c r="AJ245" i="1" s="1"/>
  <c r="V12" i="14" s="1"/>
  <c r="AJ100" i="1"/>
  <c r="AJ98" i="1"/>
  <c r="AJ97" i="1" s="1"/>
  <c r="AJ243" i="1" s="1"/>
  <c r="V10" i="14" s="1"/>
  <c r="AJ91" i="1"/>
  <c r="AK91" i="1"/>
  <c r="AJ87" i="1"/>
  <c r="AJ85" i="1" s="1"/>
  <c r="AJ81" i="1"/>
  <c r="AJ74" i="1"/>
  <c r="AJ72" i="1"/>
  <c r="AJ70" i="1"/>
  <c r="AJ69" i="1" s="1"/>
  <c r="AJ54" i="1"/>
  <c r="AJ40" i="1"/>
  <c r="AJ20" i="1"/>
  <c r="AJ12" i="1"/>
  <c r="AJ126" i="1"/>
  <c r="AJ123" i="1" s="1"/>
  <c r="AK126" i="1"/>
  <c r="AK123" i="1" s="1"/>
  <c r="AK11" i="1"/>
  <c r="AK13" i="1"/>
  <c r="AK14" i="1"/>
  <c r="AK15" i="1"/>
  <c r="AK16" i="1"/>
  <c r="AK17" i="1"/>
  <c r="AK18" i="1"/>
  <c r="AK19" i="1"/>
  <c r="AK22" i="1"/>
  <c r="AK23" i="1"/>
  <c r="AK25" i="1"/>
  <c r="AK26" i="1"/>
  <c r="AK27" i="1"/>
  <c r="AK28" i="1"/>
  <c r="AK29" i="1"/>
  <c r="AK30" i="1"/>
  <c r="AK31" i="1"/>
  <c r="AK32" i="1"/>
  <c r="AK33" i="1"/>
  <c r="AK34" i="1"/>
  <c r="AK35" i="1"/>
  <c r="AK36" i="1"/>
  <c r="AK37" i="1"/>
  <c r="AK39" i="1"/>
  <c r="AK41" i="1"/>
  <c r="AK42" i="1"/>
  <c r="AK43" i="1"/>
  <c r="AK40" i="1" s="1"/>
  <c r="AK44" i="1"/>
  <c r="AK45" i="1"/>
  <c r="AK46" i="1"/>
  <c r="AK47" i="1"/>
  <c r="AK48" i="1"/>
  <c r="AK49" i="1"/>
  <c r="AK50" i="1"/>
  <c r="AK51" i="1"/>
  <c r="AK52" i="1"/>
  <c r="AK55" i="1"/>
  <c r="AK56" i="1"/>
  <c r="AK59" i="1"/>
  <c r="AK60" i="1"/>
  <c r="AK61" i="1"/>
  <c r="AK62" i="1"/>
  <c r="AK63" i="1"/>
  <c r="AK64" i="1"/>
  <c r="AK65" i="1"/>
  <c r="AK66" i="1"/>
  <c r="AK67" i="1"/>
  <c r="AK71" i="1"/>
  <c r="AK70" i="1" s="1"/>
  <c r="AK69" i="1" s="1"/>
  <c r="AK77" i="1"/>
  <c r="AK80" i="1"/>
  <c r="AK84" i="1"/>
  <c r="AK86" i="1"/>
  <c r="AK88" i="1"/>
  <c r="AK87" i="1" s="1"/>
  <c r="AK89" i="1"/>
  <c r="AK90" i="1"/>
  <c r="AK92" i="1"/>
  <c r="AK93" i="1"/>
  <c r="AK95" i="1"/>
  <c r="AK96" i="1"/>
  <c r="AK102" i="1"/>
  <c r="AK104" i="1"/>
  <c r="AK106" i="1"/>
  <c r="AK107" i="1"/>
  <c r="AK108" i="1"/>
  <c r="AK109" i="1"/>
  <c r="AK110" i="1"/>
  <c r="AK111" i="1"/>
  <c r="AK112" i="1"/>
  <c r="AK115" i="1"/>
  <c r="AK116" i="1"/>
  <c r="AK114" i="1" s="1"/>
  <c r="AK113" i="1" s="1"/>
  <c r="AK245" i="1" s="1"/>
  <c r="W12" i="14" s="1"/>
  <c r="B12" i="17" s="1"/>
  <c r="AK117" i="1"/>
  <c r="AK118" i="1"/>
  <c r="AK119" i="1"/>
  <c r="AK120" i="1"/>
  <c r="AK121" i="1"/>
  <c r="AK124" i="1"/>
  <c r="AK125" i="1"/>
  <c r="AK247" i="1"/>
  <c r="AK127" i="1"/>
  <c r="AK10" i="1"/>
  <c r="BH248" i="1"/>
  <c r="BG248" i="1"/>
  <c r="BG242" i="1"/>
  <c r="AK258" i="1"/>
  <c r="AK257" i="1"/>
  <c r="AJ248" i="1"/>
  <c r="BG235" i="1" s="1"/>
  <c r="AJ244" i="1"/>
  <c r="V11" i="14" s="1"/>
  <c r="AJ242" i="1"/>
  <c r="V9" i="14" s="1"/>
  <c r="BG143" i="1"/>
  <c r="BG142" i="1"/>
  <c r="BG141" i="1"/>
  <c r="BH138" i="1"/>
  <c r="BH143" i="1" s="1"/>
  <c r="BH135" i="1"/>
  <c r="BH134" i="1"/>
  <c r="BH133" i="1"/>
  <c r="BH141" i="1" s="1"/>
  <c r="BG156" i="1"/>
  <c r="BG155" i="1"/>
  <c r="BG154" i="1"/>
  <c r="BH151" i="1"/>
  <c r="BH156" i="1" s="1"/>
  <c r="BH148" i="1"/>
  <c r="BH147" i="1"/>
  <c r="BH146" i="1"/>
  <c r="BG168" i="1"/>
  <c r="BG167" i="1"/>
  <c r="BG166" i="1"/>
  <c r="BH163" i="1"/>
  <c r="BH168" i="1" s="1"/>
  <c r="BH160" i="1"/>
  <c r="BH159" i="1"/>
  <c r="BH158" i="1"/>
  <c r="BG181" i="1"/>
  <c r="BG180" i="1"/>
  <c r="BG179" i="1"/>
  <c r="BH176" i="1"/>
  <c r="BH181" i="1" s="1"/>
  <c r="BH173" i="1"/>
  <c r="BH172" i="1"/>
  <c r="BH171" i="1"/>
  <c r="BG194" i="1"/>
  <c r="BG193" i="1"/>
  <c r="BG192" i="1"/>
  <c r="BH189" i="1"/>
  <c r="BH194" i="1" s="1"/>
  <c r="BH186" i="1"/>
  <c r="BH185" i="1"/>
  <c r="BH184" i="1"/>
  <c r="BG206" i="1"/>
  <c r="BG205" i="1"/>
  <c r="BG204" i="1"/>
  <c r="BH201" i="1"/>
  <c r="BH206" i="1" s="1"/>
  <c r="BH198" i="1"/>
  <c r="BH197" i="1"/>
  <c r="BH196" i="1"/>
  <c r="BG219" i="1"/>
  <c r="BG218" i="1"/>
  <c r="BG217" i="1"/>
  <c r="BH214" i="1"/>
  <c r="BH219" i="1" s="1"/>
  <c r="BH211" i="1"/>
  <c r="BH210" i="1"/>
  <c r="BH209" i="1"/>
  <c r="BG233" i="1"/>
  <c r="BG232" i="1"/>
  <c r="BG231" i="1"/>
  <c r="BH228" i="1"/>
  <c r="BH233" i="1" s="1"/>
  <c r="BH224" i="1"/>
  <c r="BH225" i="1"/>
  <c r="BH223" i="1"/>
  <c r="AK233" i="1"/>
  <c r="AJ235" i="1"/>
  <c r="AJ233" i="1"/>
  <c r="AJ231" i="1"/>
  <c r="AJ228" i="1"/>
  <c r="AJ232" i="1" s="1"/>
  <c r="AK224" i="1"/>
  <c r="AK219" i="1"/>
  <c r="AJ219" i="1"/>
  <c r="AJ213" i="1"/>
  <c r="AJ218" i="1" s="1"/>
  <c r="AK209" i="1"/>
  <c r="AK206" i="1"/>
  <c r="AJ206" i="1"/>
  <c r="AJ205" i="1"/>
  <c r="AK203" i="1"/>
  <c r="AK201" i="1" s="1"/>
  <c r="AJ201" i="1"/>
  <c r="AJ204" i="1" s="1"/>
  <c r="AK196" i="1"/>
  <c r="AK205" i="1" s="1"/>
  <c r="AK194" i="1"/>
  <c r="AJ194" i="1"/>
  <c r="AJ193" i="1"/>
  <c r="AJ188" i="1"/>
  <c r="AJ192" i="1" s="1"/>
  <c r="AK184" i="1"/>
  <c r="AK181" i="1"/>
  <c r="AJ181" i="1"/>
  <c r="AJ175" i="1"/>
  <c r="AJ180" i="1" s="1"/>
  <c r="AK171" i="1"/>
  <c r="AK168" i="1"/>
  <c r="AJ168" i="1"/>
  <c r="AJ167" i="1"/>
  <c r="AJ163" i="1"/>
  <c r="AJ166" i="1" s="1"/>
  <c r="AK159" i="1"/>
  <c r="AK156" i="1"/>
  <c r="AJ156" i="1"/>
  <c r="AJ150" i="1"/>
  <c r="AK146" i="1"/>
  <c r="AK143" i="1"/>
  <c r="AJ143" i="1"/>
  <c r="AJ137" i="1"/>
  <c r="AJ141" i="1" s="1"/>
  <c r="AK133" i="1"/>
  <c r="BH13" i="1"/>
  <c r="BH19" i="1"/>
  <c r="D15" i="5"/>
  <c r="E15" i="5"/>
  <c r="D13" i="5"/>
  <c r="BG18" i="1" s="1"/>
  <c r="E7" i="5"/>
  <c r="E8" i="5"/>
  <c r="E9" i="5"/>
  <c r="E10" i="5"/>
  <c r="E11" i="5"/>
  <c r="E12" i="5"/>
  <c r="E6" i="5"/>
  <c r="W56" i="4"/>
  <c r="BG58" i="1" s="1"/>
  <c r="BG59" i="1"/>
  <c r="X55" i="4"/>
  <c r="X54" i="4"/>
  <c r="X45" i="4"/>
  <c r="X47" i="4"/>
  <c r="X44" i="4"/>
  <c r="W35" i="4"/>
  <c r="BG14" i="1" s="1"/>
  <c r="X30" i="4"/>
  <c r="X31" i="4"/>
  <c r="X32" i="4"/>
  <c r="X33" i="4"/>
  <c r="X34" i="4"/>
  <c r="X29" i="4"/>
  <c r="BG16" i="1"/>
  <c r="X9" i="4"/>
  <c r="X10" i="4"/>
  <c r="X11" i="4"/>
  <c r="X14" i="4"/>
  <c r="X15" i="4"/>
  <c r="X16" i="4"/>
  <c r="X17" i="4"/>
  <c r="X18" i="4"/>
  <c r="X19" i="4"/>
  <c r="X20" i="4"/>
  <c r="X21" i="4"/>
  <c r="X22" i="4"/>
  <c r="X23" i="4"/>
  <c r="X24" i="4"/>
  <c r="X25" i="4"/>
  <c r="X26" i="4"/>
  <c r="X8" i="4"/>
  <c r="F33" i="41"/>
  <c r="G33" i="41"/>
  <c r="C32" i="41"/>
  <c r="C29" i="41"/>
  <c r="D29" i="41"/>
  <c r="C26" i="41"/>
  <c r="C21" i="41"/>
  <c r="C33" i="41" s="1"/>
  <c r="D31" i="41"/>
  <c r="D32" i="41" s="1"/>
  <c r="D28" i="41"/>
  <c r="D25" i="41"/>
  <c r="D26" i="41" s="1"/>
  <c r="D20" i="41"/>
  <c r="D21" i="41" s="1"/>
  <c r="C18" i="41"/>
  <c r="D17" i="41"/>
  <c r="D18" i="41" s="1"/>
  <c r="D12" i="41"/>
  <c r="D14" i="41" s="1"/>
  <c r="C14" i="41"/>
  <c r="C9" i="41"/>
  <c r="D8" i="41"/>
  <c r="D9" i="41" s="1"/>
  <c r="D33" i="41" s="1"/>
  <c r="E24" i="71"/>
  <c r="F16" i="71"/>
  <c r="F17" i="71"/>
  <c r="F18" i="71"/>
  <c r="F19" i="71"/>
  <c r="F24" i="71" s="1"/>
  <c r="F20" i="71"/>
  <c r="F21" i="71"/>
  <c r="F22" i="71"/>
  <c r="F23" i="71"/>
  <c r="F15" i="71"/>
  <c r="E13" i="71"/>
  <c r="E25" i="71" s="1"/>
  <c r="BG55" i="1" s="1"/>
  <c r="F9" i="71"/>
  <c r="F10" i="71"/>
  <c r="F11" i="71"/>
  <c r="F12" i="71"/>
  <c r="F8" i="71"/>
  <c r="F13" i="71" s="1"/>
  <c r="F33" i="70"/>
  <c r="F34" i="70"/>
  <c r="F35" i="70"/>
  <c r="F36" i="70"/>
  <c r="F37" i="70"/>
  <c r="F38" i="70"/>
  <c r="F39" i="70"/>
  <c r="F40" i="70"/>
  <c r="F41" i="70"/>
  <c r="F42" i="70"/>
  <c r="F43" i="70"/>
  <c r="F44" i="70"/>
  <c r="F45" i="70"/>
  <c r="F46" i="70"/>
  <c r="F47" i="70"/>
  <c r="F32" i="70"/>
  <c r="F9" i="70"/>
  <c r="F10" i="70"/>
  <c r="F11" i="70"/>
  <c r="F12" i="70"/>
  <c r="F13" i="70"/>
  <c r="F14" i="70"/>
  <c r="F15" i="70"/>
  <c r="F16" i="70"/>
  <c r="F17" i="70"/>
  <c r="F18" i="70"/>
  <c r="F19" i="70"/>
  <c r="F20" i="70"/>
  <c r="F21" i="70"/>
  <c r="F22" i="70"/>
  <c r="F23" i="70"/>
  <c r="F24" i="70"/>
  <c r="F25" i="70"/>
  <c r="F26" i="70"/>
  <c r="F27" i="70"/>
  <c r="F28" i="70"/>
  <c r="F29" i="70"/>
  <c r="F8" i="70"/>
  <c r="E48" i="70"/>
  <c r="E30" i="70"/>
  <c r="N23" i="68"/>
  <c r="N24" i="68"/>
  <c r="N25" i="68"/>
  <c r="O25" i="68" s="1"/>
  <c r="N26" i="68"/>
  <c r="O26" i="68" s="1"/>
  <c r="N27" i="68"/>
  <c r="O27" i="68" s="1"/>
  <c r="N28" i="68"/>
  <c r="O28" i="68" s="1"/>
  <c r="N29" i="68"/>
  <c r="O29" i="68" s="1"/>
  <c r="N30" i="68"/>
  <c r="O30" i="68" s="1"/>
  <c r="N31" i="68"/>
  <c r="N32" i="68"/>
  <c r="N33" i="68"/>
  <c r="N22" i="68"/>
  <c r="N9" i="68"/>
  <c r="N10" i="68"/>
  <c r="N11" i="68"/>
  <c r="N12" i="68"/>
  <c r="N13" i="68"/>
  <c r="N14" i="68"/>
  <c r="N15" i="68"/>
  <c r="N16" i="68"/>
  <c r="N17" i="68"/>
  <c r="N18" i="68"/>
  <c r="N19" i="68"/>
  <c r="N7" i="68"/>
  <c r="I35" i="68"/>
  <c r="E34" i="68"/>
  <c r="E35" i="68" s="1"/>
  <c r="G34" i="68"/>
  <c r="G35" i="68" s="1"/>
  <c r="H34" i="68"/>
  <c r="I34" i="68"/>
  <c r="K34" i="68"/>
  <c r="AP74" i="2"/>
  <c r="AP75" i="2"/>
  <c r="AP76" i="2"/>
  <c r="AP77" i="2"/>
  <c r="AP78" i="2"/>
  <c r="AP79" i="2"/>
  <c r="AP80" i="2"/>
  <c r="AP81" i="2"/>
  <c r="AP82" i="2"/>
  <c r="AP83" i="2"/>
  <c r="AP84" i="2"/>
  <c r="AP85" i="2"/>
  <c r="AP86" i="2"/>
  <c r="AP87" i="2"/>
  <c r="AP88" i="2"/>
  <c r="AP89" i="2"/>
  <c r="AP90" i="2"/>
  <c r="AP91" i="2"/>
  <c r="AP73" i="2"/>
  <c r="AP68" i="2"/>
  <c r="AP69" i="2"/>
  <c r="AP70" i="2"/>
  <c r="AP71" i="2"/>
  <c r="AP65" i="2"/>
  <c r="AP66" i="2"/>
  <c r="AP67" i="2"/>
  <c r="AP64" i="2"/>
  <c r="AP51" i="2"/>
  <c r="AP52" i="2"/>
  <c r="AP53" i="2"/>
  <c r="AP54" i="2"/>
  <c r="AP55" i="2"/>
  <c r="AP56" i="2"/>
  <c r="AP57" i="2"/>
  <c r="AP58" i="2"/>
  <c r="AP59" i="2"/>
  <c r="AP60" i="2"/>
  <c r="AP61" i="2"/>
  <c r="AP62" i="2"/>
  <c r="AP63" i="2"/>
  <c r="AP46" i="2"/>
  <c r="AP47" i="2"/>
  <c r="AP48" i="2"/>
  <c r="AP36" i="2"/>
  <c r="AP37" i="2"/>
  <c r="AP38" i="2"/>
  <c r="AP39" i="2"/>
  <c r="AP40" i="2"/>
  <c r="AP41" i="2"/>
  <c r="AP42" i="2"/>
  <c r="AP43" i="2"/>
  <c r="AP31" i="2"/>
  <c r="AP32" i="2"/>
  <c r="AP33" i="2"/>
  <c r="AP50" i="2"/>
  <c r="AP45" i="2"/>
  <c r="AP35" i="2"/>
  <c r="AP30" i="2"/>
  <c r="AP29" i="2" s="1"/>
  <c r="AP8" i="2"/>
  <c r="AP9" i="2"/>
  <c r="AP10" i="2"/>
  <c r="AP11" i="2"/>
  <c r="AP12" i="2"/>
  <c r="AP13" i="2"/>
  <c r="AP14" i="2"/>
  <c r="AP15" i="2"/>
  <c r="AP16" i="2"/>
  <c r="AP17" i="2"/>
  <c r="AP18" i="2"/>
  <c r="AP19" i="2"/>
  <c r="AP20" i="2"/>
  <c r="AP21" i="2"/>
  <c r="AP22" i="2"/>
  <c r="AP23" i="2"/>
  <c r="AP24" i="2"/>
  <c r="AP25" i="2"/>
  <c r="AP26" i="2"/>
  <c r="AP27" i="2"/>
  <c r="AP28" i="2"/>
  <c r="AP7" i="2"/>
  <c r="H49" i="2"/>
  <c r="I49" i="2"/>
  <c r="J49" i="2"/>
  <c r="K49" i="2"/>
  <c r="M49" i="2"/>
  <c r="N49" i="2"/>
  <c r="R49" i="2"/>
  <c r="S49" i="2"/>
  <c r="T49" i="2"/>
  <c r="V49" i="2"/>
  <c r="W49" i="2"/>
  <c r="X49" i="2"/>
  <c r="AA49" i="2"/>
  <c r="AC49" i="2"/>
  <c r="AD49" i="2"/>
  <c r="AE49" i="2"/>
  <c r="AF49" i="2"/>
  <c r="AN49" i="2"/>
  <c r="H34" i="2"/>
  <c r="I34" i="2"/>
  <c r="J34" i="2"/>
  <c r="M34" i="2"/>
  <c r="N34" i="2"/>
  <c r="R34" i="2"/>
  <c r="S34" i="2"/>
  <c r="V34" i="2"/>
  <c r="W34" i="2"/>
  <c r="X34" i="2"/>
  <c r="AA34" i="2"/>
  <c r="AC34" i="2"/>
  <c r="AD34" i="2"/>
  <c r="AE34" i="2"/>
  <c r="AN34" i="2"/>
  <c r="J29" i="2"/>
  <c r="M29" i="2"/>
  <c r="N29" i="2"/>
  <c r="S29" i="2"/>
  <c r="V29" i="2"/>
  <c r="W29" i="2"/>
  <c r="AA29" i="2"/>
  <c r="AC29" i="2"/>
  <c r="AD29" i="2"/>
  <c r="AE29" i="2"/>
  <c r="AN29" i="2"/>
  <c r="H6" i="2"/>
  <c r="I6" i="2"/>
  <c r="J6" i="2"/>
  <c r="M6" i="2"/>
  <c r="N6" i="2"/>
  <c r="R6" i="2"/>
  <c r="S6" i="2"/>
  <c r="V6" i="2"/>
  <c r="W6" i="2"/>
  <c r="X6" i="2"/>
  <c r="AA6" i="2"/>
  <c r="AC6" i="2"/>
  <c r="AE6" i="2"/>
  <c r="AN6" i="2"/>
  <c r="E49" i="70" l="1"/>
  <c r="BG54" i="1" s="1"/>
  <c r="BG244" i="1" s="1"/>
  <c r="AS11" i="14" s="1"/>
  <c r="N34" i="68"/>
  <c r="BG245" i="1"/>
  <c r="AS12" i="14" s="1"/>
  <c r="AJ155" i="1"/>
  <c r="AJ154" i="1"/>
  <c r="F25" i="71"/>
  <c r="BH193" i="1"/>
  <c r="AP44" i="2"/>
  <c r="F30" i="70"/>
  <c r="F49" i="70" s="1"/>
  <c r="F48" i="70"/>
  <c r="AK204" i="1"/>
  <c r="BH231" i="1"/>
  <c r="BH166" i="1"/>
  <c r="AJ247" i="1"/>
  <c r="BH217" i="1"/>
  <c r="AP34" i="2"/>
  <c r="AJ217" i="1"/>
  <c r="AP49" i="2"/>
  <c r="W72" i="2"/>
  <c r="W92" i="2" s="1"/>
  <c r="BG8" i="1" s="1"/>
  <c r="BG239" i="1" s="1"/>
  <c r="AS6" i="14" s="1"/>
  <c r="AP6" i="2"/>
  <c r="BH232" i="1"/>
  <c r="BH204" i="1"/>
  <c r="BH192" i="1"/>
  <c r="AJ179" i="1"/>
  <c r="BH179" i="1"/>
  <c r="AJ246" i="1"/>
  <c r="V18" i="14" s="1"/>
  <c r="BH154" i="1"/>
  <c r="BH155" i="1"/>
  <c r="AJ142" i="1"/>
  <c r="BG249" i="1"/>
  <c r="V19" i="14"/>
  <c r="AS19" i="14" s="1"/>
  <c r="E13" i="5"/>
  <c r="E14" i="5" s="1"/>
  <c r="AK12" i="1"/>
  <c r="D14" i="5"/>
  <c r="X35" i="4"/>
  <c r="X56" i="4"/>
  <c r="BG56" i="1"/>
  <c r="BG246" i="1" s="1"/>
  <c r="AS13" i="14" s="1"/>
  <c r="AJ9" i="1"/>
  <c r="AJ8" i="1" s="1"/>
  <c r="AN72" i="2"/>
  <c r="AN92" i="2" s="1"/>
  <c r="BG10" i="1" s="1"/>
  <c r="BG241" i="1" s="1"/>
  <c r="AS8" i="14" s="1"/>
  <c r="AE72" i="2"/>
  <c r="AE92" i="2" s="1"/>
  <c r="BG9" i="1" s="1"/>
  <c r="BG240" i="1" s="1"/>
  <c r="AS7" i="14" s="1"/>
  <c r="AQ8" i="2"/>
  <c r="AJ68" i="1"/>
  <c r="AJ241" i="1" s="1"/>
  <c r="V8" i="14" s="1"/>
  <c r="AJ53" i="1"/>
  <c r="AJ240" i="1" s="1"/>
  <c r="V7" i="14" s="1"/>
  <c r="BG127" i="1"/>
  <c r="BG124" i="1" s="1"/>
  <c r="BG123" i="1" s="1"/>
  <c r="BG247" i="1" s="1"/>
  <c r="AS18" i="14" s="1"/>
  <c r="BH142" i="1"/>
  <c r="BH167" i="1"/>
  <c r="BH180" i="1"/>
  <c r="BH205" i="1"/>
  <c r="BH218" i="1"/>
  <c r="BG12" i="1"/>
  <c r="N35" i="68"/>
  <c r="E18" i="73"/>
  <c r="G18" i="73"/>
  <c r="T25" i="73"/>
  <c r="S19" i="73"/>
  <c r="S13" i="73"/>
  <c r="AJ122" i="1" l="1"/>
  <c r="AJ128" i="1" s="1"/>
  <c r="AJ130" i="1"/>
  <c r="AS17" i="14"/>
  <c r="AJ234" i="1"/>
  <c r="AJ236" i="1" s="1"/>
  <c r="AP72" i="2"/>
  <c r="AP92" i="2" s="1"/>
  <c r="AJ239" i="1"/>
  <c r="V6" i="14" s="1"/>
  <c r="V14" i="14" s="1"/>
  <c r="V20" i="14" s="1"/>
  <c r="V26" i="14" s="1"/>
  <c r="BG130" i="1"/>
  <c r="BG253" i="1"/>
  <c r="AS22" i="14" s="1"/>
  <c r="BG122" i="1"/>
  <c r="BG128" i="1" s="1"/>
  <c r="BG234" i="1" s="1"/>
  <c r="BG236" i="1" s="1"/>
  <c r="BG243" i="1"/>
  <c r="AS10" i="14" s="1"/>
  <c r="AS14" i="14" s="1"/>
  <c r="AS20" i="14" s="1"/>
  <c r="AS26" i="14" s="1"/>
  <c r="AJ129" i="1"/>
  <c r="BG129" i="1"/>
  <c r="AJ253" i="1"/>
  <c r="V22" i="14" s="1"/>
  <c r="B9" i="16"/>
  <c r="C13" i="5"/>
  <c r="M7" i="68"/>
  <c r="O7" i="68" s="1"/>
  <c r="M13" i="68"/>
  <c r="O13" i="68" s="1"/>
  <c r="M16" i="68"/>
  <c r="O16" i="68" s="1"/>
  <c r="M17" i="68"/>
  <c r="O17" i="68" s="1"/>
  <c r="AJ250" i="1" l="1"/>
  <c r="AJ252" i="1"/>
  <c r="AS27" i="14"/>
  <c r="BG256" i="1"/>
  <c r="AS25" i="14" s="1"/>
  <c r="BG250" i="1"/>
  <c r="BG254" i="1" s="1"/>
  <c r="AS16" i="14"/>
  <c r="AS15" i="14"/>
  <c r="BG252" i="1"/>
  <c r="AS21" i="14" s="1"/>
  <c r="V21" i="14"/>
  <c r="P40" i="1"/>
  <c r="AI40" i="1"/>
  <c r="BG255" i="1" l="1"/>
  <c r="AS24" i="14" s="1"/>
  <c r="F37" i="12"/>
  <c r="E103" i="74" l="1"/>
  <c r="I94" i="74"/>
  <c r="H93" i="74"/>
  <c r="H96" i="74" s="1"/>
  <c r="E93" i="74"/>
  <c r="E96" i="74" s="1"/>
  <c r="H89" i="74"/>
  <c r="E89" i="74"/>
  <c r="I88" i="74"/>
  <c r="H86" i="74"/>
  <c r="H85" i="74" s="1"/>
  <c r="E86" i="74"/>
  <c r="E85" i="74"/>
  <c r="E84" i="74"/>
  <c r="I84" i="74" s="1"/>
  <c r="E83" i="74"/>
  <c r="I83" i="74" s="1"/>
  <c r="H81" i="74"/>
  <c r="E81" i="74"/>
  <c r="I81" i="74" s="1"/>
  <c r="H80" i="74"/>
  <c r="E80" i="74"/>
  <c r="H79" i="74"/>
  <c r="E79" i="74"/>
  <c r="H78" i="74"/>
  <c r="H77" i="74" s="1"/>
  <c r="E78" i="74"/>
  <c r="I76" i="74"/>
  <c r="H75" i="74"/>
  <c r="H74" i="74" s="1"/>
  <c r="E75" i="74"/>
  <c r="I73" i="74"/>
  <c r="H72" i="74"/>
  <c r="E72" i="74"/>
  <c r="I71" i="74"/>
  <c r="I70" i="74"/>
  <c r="I69" i="74"/>
  <c r="I68" i="74"/>
  <c r="H67" i="74"/>
  <c r="E67" i="74"/>
  <c r="I67" i="74" s="1"/>
  <c r="H66" i="74"/>
  <c r="E66" i="74"/>
  <c r="H65" i="74"/>
  <c r="E65" i="74"/>
  <c r="I65" i="74" s="1"/>
  <c r="H64" i="74"/>
  <c r="E64" i="74"/>
  <c r="H63" i="74"/>
  <c r="E63" i="74"/>
  <c r="H62" i="74"/>
  <c r="E62" i="74"/>
  <c r="H60" i="74"/>
  <c r="E60" i="74"/>
  <c r="H59" i="74"/>
  <c r="E59" i="74"/>
  <c r="E58" i="74"/>
  <c r="H57" i="74"/>
  <c r="E57" i="74"/>
  <c r="I57" i="74" s="1"/>
  <c r="I54" i="74"/>
  <c r="I51" i="74"/>
  <c r="I50" i="74"/>
  <c r="H49" i="74"/>
  <c r="E49" i="74"/>
  <c r="H48" i="74"/>
  <c r="E48" i="74"/>
  <c r="I48" i="74" s="1"/>
  <c r="H47" i="74"/>
  <c r="E47" i="74"/>
  <c r="H46" i="74"/>
  <c r="E46" i="74"/>
  <c r="I46" i="74" s="1"/>
  <c r="I44" i="74"/>
  <c r="H43" i="74"/>
  <c r="I43" i="74" s="1"/>
  <c r="E43" i="74"/>
  <c r="H42" i="74"/>
  <c r="H41" i="74" s="1"/>
  <c r="E42" i="74"/>
  <c r="I42" i="74" s="1"/>
  <c r="H40" i="74"/>
  <c r="E40" i="74"/>
  <c r="I40" i="74" s="1"/>
  <c r="H39" i="74"/>
  <c r="H38" i="74" s="1"/>
  <c r="E39" i="74"/>
  <c r="E38" i="74" s="1"/>
  <c r="I37" i="74"/>
  <c r="H36" i="74"/>
  <c r="E36" i="74"/>
  <c r="H35" i="74"/>
  <c r="H34" i="74" s="1"/>
  <c r="E35" i="74"/>
  <c r="I35" i="74" s="1"/>
  <c r="H30" i="74"/>
  <c r="E30" i="74"/>
  <c r="G28" i="74"/>
  <c r="H28" i="74" s="1"/>
  <c r="E28" i="74"/>
  <c r="D28" i="74"/>
  <c r="I26" i="74"/>
  <c r="H25" i="74"/>
  <c r="E25" i="74"/>
  <c r="I24" i="74"/>
  <c r="H23" i="74"/>
  <c r="E23" i="74"/>
  <c r="I22" i="74"/>
  <c r="H21" i="74"/>
  <c r="E21" i="74"/>
  <c r="I21" i="74" s="1"/>
  <c r="H20" i="74"/>
  <c r="I20" i="74" s="1"/>
  <c r="E20" i="74"/>
  <c r="I18" i="74"/>
  <c r="H17" i="74"/>
  <c r="E17" i="74"/>
  <c r="I16" i="74"/>
  <c r="I15" i="74"/>
  <c r="I14" i="74"/>
  <c r="H13" i="74"/>
  <c r="E13" i="74"/>
  <c r="I12" i="74"/>
  <c r="H11" i="74"/>
  <c r="E11" i="74"/>
  <c r="C9" i="74"/>
  <c r="E9" i="74" s="1"/>
  <c r="H8" i="74"/>
  <c r="C8" i="74"/>
  <c r="E8" i="74" s="1"/>
  <c r="I85" i="74" l="1"/>
  <c r="H45" i="74"/>
  <c r="I89" i="74"/>
  <c r="I17" i="74"/>
  <c r="I36" i="74"/>
  <c r="I64" i="74"/>
  <c r="I66" i="74"/>
  <c r="I72" i="74"/>
  <c r="I75" i="74"/>
  <c r="I78" i="74"/>
  <c r="I80" i="74"/>
  <c r="I86" i="74"/>
  <c r="I62" i="74"/>
  <c r="I25" i="74"/>
  <c r="E34" i="74"/>
  <c r="E45" i="74"/>
  <c r="I45" i="74" s="1"/>
  <c r="I96" i="74"/>
  <c r="H52" i="74"/>
  <c r="I38" i="74"/>
  <c r="H90" i="74"/>
  <c r="I79" i="74"/>
  <c r="I23" i="74"/>
  <c r="I30" i="74"/>
  <c r="I39" i="74"/>
  <c r="E41" i="74"/>
  <c r="I41" i="74" s="1"/>
  <c r="I49" i="74"/>
  <c r="I60" i="74"/>
  <c r="E74" i="74"/>
  <c r="I74" i="74" s="1"/>
  <c r="I28" i="74"/>
  <c r="E10" i="74"/>
  <c r="I8" i="74"/>
  <c r="E27" i="74"/>
  <c r="I11" i="74"/>
  <c r="H19" i="74"/>
  <c r="H27" i="74"/>
  <c r="H29" i="74" s="1"/>
  <c r="H10" i="74" s="1"/>
  <c r="H31" i="74" s="1"/>
  <c r="E19" i="74"/>
  <c r="I13" i="74"/>
  <c r="I47" i="74"/>
  <c r="E56" i="74"/>
  <c r="I63" i="74"/>
  <c r="I93" i="74"/>
  <c r="H56" i="74"/>
  <c r="E82" i="74"/>
  <c r="I59" i="74"/>
  <c r="E52" i="74" l="1"/>
  <c r="I52" i="74" s="1"/>
  <c r="I34" i="74"/>
  <c r="H91" i="74"/>
  <c r="H97" i="74"/>
  <c r="I82" i="74"/>
  <c r="E77" i="74"/>
  <c r="I77" i="74" s="1"/>
  <c r="I19" i="74"/>
  <c r="I56" i="74"/>
  <c r="E31" i="74"/>
  <c r="I10" i="74"/>
  <c r="E29" i="74"/>
  <c r="I27" i="74"/>
  <c r="E90" i="74"/>
  <c r="I90" i="74" s="1"/>
  <c r="E97" i="74" l="1"/>
  <c r="I97" i="74" s="1"/>
  <c r="E91" i="74"/>
  <c r="I91" i="74" s="1"/>
  <c r="I31" i="74"/>
  <c r="K18" i="73" l="1"/>
  <c r="X19" i="73"/>
  <c r="AF71" i="2"/>
  <c r="AF7" i="2"/>
  <c r="Y25" i="73" l="1"/>
  <c r="F9" i="17" l="1"/>
  <c r="K27" i="73"/>
  <c r="J27" i="73"/>
  <c r="I27" i="73"/>
  <c r="F27" i="73"/>
  <c r="E27" i="73"/>
  <c r="D27" i="73"/>
  <c r="C27" i="73"/>
  <c r="B27" i="73"/>
  <c r="Z26" i="73"/>
  <c r="U26" i="73"/>
  <c r="M26" i="73"/>
  <c r="Z25" i="73"/>
  <c r="U25" i="73"/>
  <c r="M25" i="73"/>
  <c r="Z24" i="73"/>
  <c r="U24" i="73"/>
  <c r="M24" i="73"/>
  <c r="AA24" i="73" s="1"/>
  <c r="Z23" i="73"/>
  <c r="U23" i="73"/>
  <c r="M23" i="73"/>
  <c r="Z22" i="73"/>
  <c r="U22" i="73"/>
  <c r="M22" i="73"/>
  <c r="Z21" i="73"/>
  <c r="U21" i="73"/>
  <c r="M21" i="73"/>
  <c r="AA21" i="73" s="1"/>
  <c r="Z20" i="73"/>
  <c r="U20" i="73"/>
  <c r="M20" i="73"/>
  <c r="AA20" i="73" s="1"/>
  <c r="X18" i="73"/>
  <c r="U19" i="73"/>
  <c r="M19" i="73"/>
  <c r="Y18" i="73"/>
  <c r="W18" i="73"/>
  <c r="V18" i="73"/>
  <c r="T18" i="73"/>
  <c r="S18" i="73"/>
  <c r="R18" i="73"/>
  <c r="Q18" i="73"/>
  <c r="P18" i="73"/>
  <c r="O18" i="73"/>
  <c r="L27" i="73"/>
  <c r="H18" i="73"/>
  <c r="Z17" i="73"/>
  <c r="AA17" i="73" s="1"/>
  <c r="U17" i="73"/>
  <c r="Y16" i="73"/>
  <c r="X16" i="73"/>
  <c r="W16" i="73"/>
  <c r="V16" i="73"/>
  <c r="T16" i="73"/>
  <c r="S16" i="73"/>
  <c r="R16" i="73"/>
  <c r="Q16" i="73"/>
  <c r="P16" i="73"/>
  <c r="P27" i="73" s="1"/>
  <c r="O16" i="73"/>
  <c r="M16" i="73"/>
  <c r="H16" i="73"/>
  <c r="Z15" i="73"/>
  <c r="U15" i="73"/>
  <c r="M15" i="73"/>
  <c r="H15" i="73"/>
  <c r="M14" i="73"/>
  <c r="AA14" i="73" s="1"/>
  <c r="H14" i="73"/>
  <c r="Z13" i="73"/>
  <c r="U13" i="73"/>
  <c r="Z12" i="73"/>
  <c r="U12" i="73"/>
  <c r="Z11" i="73"/>
  <c r="U11" i="73"/>
  <c r="M11" i="73"/>
  <c r="H11" i="73"/>
  <c r="Y10" i="73"/>
  <c r="X10" i="73"/>
  <c r="W10" i="73"/>
  <c r="V10" i="73"/>
  <c r="T10" i="73"/>
  <c r="S10" i="73"/>
  <c r="R10" i="73"/>
  <c r="R27" i="73" s="1"/>
  <c r="Q10" i="73"/>
  <c r="P10" i="73"/>
  <c r="O10" i="73"/>
  <c r="M10" i="73"/>
  <c r="H10" i="73"/>
  <c r="G10" i="73"/>
  <c r="G27" i="73" s="1"/>
  <c r="Z9" i="73"/>
  <c r="M9" i="73"/>
  <c r="AA9" i="73" s="1"/>
  <c r="H9" i="73"/>
  <c r="Z8" i="73"/>
  <c r="U8" i="73"/>
  <c r="M8" i="73"/>
  <c r="H8" i="73"/>
  <c r="Z7" i="73"/>
  <c r="U7" i="73"/>
  <c r="M7" i="73"/>
  <c r="H7" i="73"/>
  <c r="U6" i="73"/>
  <c r="M6" i="73"/>
  <c r="AA6" i="73" s="1"/>
  <c r="H6" i="73"/>
  <c r="C15" i="5"/>
  <c r="D24" i="71"/>
  <c r="AO19" i="72"/>
  <c r="AP19" i="72"/>
  <c r="AQ19" i="72"/>
  <c r="AR19" i="72"/>
  <c r="AS19" i="72"/>
  <c r="AT19" i="72"/>
  <c r="AU19" i="72"/>
  <c r="AV19" i="72"/>
  <c r="AW19" i="72"/>
  <c r="AX19" i="72"/>
  <c r="AY19" i="72"/>
  <c r="AZ19" i="72"/>
  <c r="BA19" i="72"/>
  <c r="BB19" i="72"/>
  <c r="BC19" i="72"/>
  <c r="AN19" i="72"/>
  <c r="B14" i="72"/>
  <c r="B20" i="72" s="1"/>
  <c r="B26" i="72" s="1"/>
  <c r="AO14" i="72"/>
  <c r="AO20" i="72" s="1"/>
  <c r="AP14" i="72"/>
  <c r="AP20" i="72" s="1"/>
  <c r="AP26" i="72" s="1"/>
  <c r="AQ14" i="72"/>
  <c r="AQ20" i="72" s="1"/>
  <c r="AQ26" i="72" s="1"/>
  <c r="AR14" i="72"/>
  <c r="AR20" i="72" s="1"/>
  <c r="AR26" i="72" s="1"/>
  <c r="AS14" i="72"/>
  <c r="AS20" i="72" s="1"/>
  <c r="AS26" i="72" s="1"/>
  <c r="AT14" i="72"/>
  <c r="AT20" i="72" s="1"/>
  <c r="AT26" i="72" s="1"/>
  <c r="AU14" i="72"/>
  <c r="AU20" i="72" s="1"/>
  <c r="AU26" i="72" s="1"/>
  <c r="AV14" i="72"/>
  <c r="AV20" i="72" s="1"/>
  <c r="AV26" i="72" s="1"/>
  <c r="AW14" i="72"/>
  <c r="AW20" i="72" s="1"/>
  <c r="AW26" i="72" s="1"/>
  <c r="AX14" i="72"/>
  <c r="AX20" i="72" s="1"/>
  <c r="AX26" i="72" s="1"/>
  <c r="AY14" i="72"/>
  <c r="AY20" i="72" s="1"/>
  <c r="AY26" i="72" s="1"/>
  <c r="AZ14" i="72"/>
  <c r="AZ15" i="72" s="1"/>
  <c r="BA14" i="72"/>
  <c r="BA20" i="72" s="1"/>
  <c r="BA26" i="72" s="1"/>
  <c r="BB14" i="72"/>
  <c r="BB20" i="72" s="1"/>
  <c r="BB26" i="72" s="1"/>
  <c r="BC14" i="72"/>
  <c r="BC20" i="72" s="1"/>
  <c r="AN14" i="72"/>
  <c r="AN20" i="72" s="1"/>
  <c r="AN26" i="72" s="1"/>
  <c r="AS15" i="72"/>
  <c r="BA15" i="72"/>
  <c r="AM25" i="72"/>
  <c r="AL25" i="72"/>
  <c r="AK25" i="72"/>
  <c r="AJ25" i="72"/>
  <c r="AI25" i="72"/>
  <c r="AH25" i="72"/>
  <c r="AG25" i="72"/>
  <c r="AF25" i="72"/>
  <c r="AE25" i="72"/>
  <c r="AD25" i="72"/>
  <c r="AC25" i="72"/>
  <c r="AB25" i="72"/>
  <c r="AA25" i="72"/>
  <c r="Z25" i="72"/>
  <c r="Y25" i="72"/>
  <c r="X25" i="72"/>
  <c r="W25" i="72"/>
  <c r="V25" i="72"/>
  <c r="U25" i="72"/>
  <c r="T25" i="72"/>
  <c r="AM24" i="72"/>
  <c r="AL24" i="72"/>
  <c r="AK24" i="72"/>
  <c r="AJ24" i="72"/>
  <c r="AI24" i="72"/>
  <c r="AH24" i="72"/>
  <c r="AG24" i="72"/>
  <c r="AF24" i="72"/>
  <c r="AE24" i="72"/>
  <c r="AD24" i="72"/>
  <c r="AC24" i="72"/>
  <c r="AB24" i="72"/>
  <c r="AA24" i="72"/>
  <c r="Z24" i="72"/>
  <c r="Y24" i="72"/>
  <c r="X24" i="72"/>
  <c r="W24" i="72"/>
  <c r="V24" i="72"/>
  <c r="U24" i="72"/>
  <c r="T24" i="72"/>
  <c r="AM23" i="72"/>
  <c r="AL23" i="72"/>
  <c r="AK23" i="72"/>
  <c r="AJ23" i="72"/>
  <c r="AI23" i="72"/>
  <c r="AH23" i="72"/>
  <c r="AG23" i="72"/>
  <c r="AF23" i="72"/>
  <c r="AE23" i="72"/>
  <c r="AD23" i="72"/>
  <c r="AC23" i="72"/>
  <c r="AB23" i="72"/>
  <c r="AA23" i="72"/>
  <c r="Z23" i="72"/>
  <c r="Y23" i="72"/>
  <c r="X23" i="72"/>
  <c r="W23" i="72"/>
  <c r="V23" i="72"/>
  <c r="U23" i="72"/>
  <c r="T23" i="72"/>
  <c r="AM22" i="72"/>
  <c r="AL22" i="72"/>
  <c r="AK22" i="72"/>
  <c r="AJ22" i="72"/>
  <c r="AI22" i="72"/>
  <c r="AH22" i="72"/>
  <c r="AG22" i="72"/>
  <c r="AF22" i="72"/>
  <c r="AE22" i="72"/>
  <c r="AD22" i="72"/>
  <c r="AC22" i="72"/>
  <c r="AB22" i="72"/>
  <c r="AA22" i="72"/>
  <c r="Z22" i="72"/>
  <c r="Y22" i="72"/>
  <c r="X22" i="72"/>
  <c r="W22" i="72"/>
  <c r="V22" i="72"/>
  <c r="U22" i="72"/>
  <c r="T22" i="72"/>
  <c r="AM21" i="72"/>
  <c r="AL21" i="72"/>
  <c r="AK21" i="72"/>
  <c r="AJ21" i="72"/>
  <c r="AI21" i="72"/>
  <c r="AH21" i="72"/>
  <c r="AG21" i="72"/>
  <c r="AF21" i="72"/>
  <c r="AE21" i="72"/>
  <c r="AD21" i="72"/>
  <c r="AC21" i="72"/>
  <c r="AB21" i="72"/>
  <c r="AA21" i="72"/>
  <c r="Z21" i="72"/>
  <c r="Y21" i="72"/>
  <c r="X21" i="72"/>
  <c r="W21" i="72"/>
  <c r="V21" i="72"/>
  <c r="U21" i="72"/>
  <c r="T21" i="72"/>
  <c r="AM19" i="72"/>
  <c r="AL19" i="72"/>
  <c r="AK19" i="72"/>
  <c r="AJ19" i="72"/>
  <c r="AI19" i="72"/>
  <c r="AH19" i="72"/>
  <c r="AG19" i="72"/>
  <c r="AF19" i="72"/>
  <c r="AE19" i="72"/>
  <c r="AD19" i="72"/>
  <c r="AC19" i="72"/>
  <c r="AB19" i="72"/>
  <c r="AA19" i="72"/>
  <c r="Z19" i="72"/>
  <c r="Y19" i="72"/>
  <c r="X19" i="72"/>
  <c r="W19" i="72"/>
  <c r="V19" i="72"/>
  <c r="U19" i="72"/>
  <c r="T19" i="72"/>
  <c r="AM18" i="72"/>
  <c r="AL18" i="72"/>
  <c r="AK18" i="72"/>
  <c r="AJ18" i="72"/>
  <c r="AI18" i="72"/>
  <c r="AH18" i="72"/>
  <c r="AG18" i="72"/>
  <c r="AF18" i="72"/>
  <c r="AE18" i="72"/>
  <c r="AD18" i="72"/>
  <c r="AC18" i="72"/>
  <c r="AB18" i="72"/>
  <c r="AA18" i="72"/>
  <c r="Z18" i="72"/>
  <c r="Y18" i="72"/>
  <c r="X18" i="72"/>
  <c r="W18" i="72"/>
  <c r="V18" i="72"/>
  <c r="U18" i="72"/>
  <c r="T18" i="72"/>
  <c r="BC17" i="72"/>
  <c r="AY17" i="72"/>
  <c r="AX17" i="72"/>
  <c r="AU17" i="72"/>
  <c r="AQ17" i="72"/>
  <c r="AP17" i="72"/>
  <c r="BC16" i="72"/>
  <c r="AZ16" i="72"/>
  <c r="AY16" i="72"/>
  <c r="AV16" i="72"/>
  <c r="AU16" i="72"/>
  <c r="AR16" i="72"/>
  <c r="AQ16" i="72"/>
  <c r="AJ16" i="72"/>
  <c r="AB16" i="72"/>
  <c r="T16" i="72"/>
  <c r="AH14" i="72"/>
  <c r="AD14" i="72"/>
  <c r="V14" i="72"/>
  <c r="U14" i="72"/>
  <c r="U20" i="72" s="1"/>
  <c r="U26" i="72" s="1"/>
  <c r="U27" i="72" s="1"/>
  <c r="Q14" i="72"/>
  <c r="M14" i="72"/>
  <c r="AY15" i="72" s="1"/>
  <c r="L14" i="72"/>
  <c r="AX15" i="72" s="1"/>
  <c r="I14" i="72"/>
  <c r="AU15" i="72" s="1"/>
  <c r="E14" i="72"/>
  <c r="AQ15" i="72" s="1"/>
  <c r="D14" i="72"/>
  <c r="AP15" i="72" s="1"/>
  <c r="AM13" i="72"/>
  <c r="AL13" i="72"/>
  <c r="AK13" i="72"/>
  <c r="AJ13" i="72"/>
  <c r="AI13" i="72"/>
  <c r="AH13" i="72"/>
  <c r="AG13" i="72"/>
  <c r="AF13" i="72"/>
  <c r="AE13" i="72"/>
  <c r="AD13" i="72"/>
  <c r="AC13" i="72"/>
  <c r="AB13" i="72"/>
  <c r="AA13" i="72"/>
  <c r="Z13" i="72"/>
  <c r="Y13" i="72"/>
  <c r="X13" i="72"/>
  <c r="W13" i="72"/>
  <c r="V13" i="72"/>
  <c r="U13" i="72"/>
  <c r="T13" i="72"/>
  <c r="AM12" i="72"/>
  <c r="AL12" i="72"/>
  <c r="AK12" i="72"/>
  <c r="AJ12" i="72"/>
  <c r="AI12" i="72"/>
  <c r="AH12" i="72"/>
  <c r="AG12" i="72"/>
  <c r="AF12" i="72"/>
  <c r="AE12" i="72"/>
  <c r="AD12" i="72"/>
  <c r="AC12" i="72"/>
  <c r="AB12" i="72"/>
  <c r="AA12" i="72"/>
  <c r="Z12" i="72"/>
  <c r="Y12" i="72"/>
  <c r="X12" i="72"/>
  <c r="W12" i="72"/>
  <c r="V12" i="72"/>
  <c r="U12" i="72"/>
  <c r="T12" i="72"/>
  <c r="AM11" i="72"/>
  <c r="AM17" i="72" s="1"/>
  <c r="AL11" i="72"/>
  <c r="AL17" i="72" s="1"/>
  <c r="AK11" i="72"/>
  <c r="AK17" i="72" s="1"/>
  <c r="AJ11" i="72"/>
  <c r="AJ17" i="72" s="1"/>
  <c r="AI11" i="72"/>
  <c r="AI17" i="72" s="1"/>
  <c r="AH11" i="72"/>
  <c r="AH17" i="72" s="1"/>
  <c r="AG11" i="72"/>
  <c r="AG17" i="72" s="1"/>
  <c r="AF11" i="72"/>
  <c r="AF17" i="72" s="1"/>
  <c r="AE11" i="72"/>
  <c r="AE17" i="72" s="1"/>
  <c r="AD11" i="72"/>
  <c r="AD17" i="72" s="1"/>
  <c r="AC11" i="72"/>
  <c r="AC17" i="72" s="1"/>
  <c r="AB11" i="72"/>
  <c r="AB17" i="72" s="1"/>
  <c r="AA11" i="72"/>
  <c r="AA17" i="72" s="1"/>
  <c r="Z11" i="72"/>
  <c r="Z17" i="72" s="1"/>
  <c r="Y11" i="72"/>
  <c r="Y17" i="72" s="1"/>
  <c r="X11" i="72"/>
  <c r="X17" i="72" s="1"/>
  <c r="W11" i="72"/>
  <c r="W17" i="72" s="1"/>
  <c r="V11" i="72"/>
  <c r="V17" i="72" s="1"/>
  <c r="U11" i="72"/>
  <c r="U17" i="72" s="1"/>
  <c r="T11" i="72"/>
  <c r="T17" i="72" s="1"/>
  <c r="AM10" i="72"/>
  <c r="AL10" i="72"/>
  <c r="AK10" i="72"/>
  <c r="AJ10" i="72"/>
  <c r="AI10" i="72"/>
  <c r="AH10" i="72"/>
  <c r="AG10" i="72"/>
  <c r="AF10" i="72"/>
  <c r="AE10" i="72"/>
  <c r="AD10" i="72"/>
  <c r="AC10" i="72"/>
  <c r="AB10" i="72"/>
  <c r="AA10" i="72"/>
  <c r="Z10" i="72"/>
  <c r="Y10" i="72"/>
  <c r="X10" i="72"/>
  <c r="W10" i="72"/>
  <c r="V10" i="72"/>
  <c r="U10" i="72"/>
  <c r="T10" i="72"/>
  <c r="AM9" i="72"/>
  <c r="AL9" i="72"/>
  <c r="AK9" i="72"/>
  <c r="AJ9" i="72"/>
  <c r="AI9" i="72"/>
  <c r="AH9" i="72"/>
  <c r="AG9" i="72"/>
  <c r="AF9" i="72"/>
  <c r="AE9" i="72"/>
  <c r="AD9" i="72"/>
  <c r="AC9" i="72"/>
  <c r="AB9" i="72"/>
  <c r="AA9" i="72"/>
  <c r="Z9" i="72"/>
  <c r="Y9" i="72"/>
  <c r="X9" i="72"/>
  <c r="W9" i="72"/>
  <c r="V9" i="72"/>
  <c r="U9" i="72"/>
  <c r="T9" i="72"/>
  <c r="AM8" i="72"/>
  <c r="AL8" i="72"/>
  <c r="AK8" i="72"/>
  <c r="AJ8" i="72"/>
  <c r="AI8" i="72"/>
  <c r="AH8" i="72"/>
  <c r="AG8" i="72"/>
  <c r="AF8" i="72"/>
  <c r="AE8" i="72"/>
  <c r="AD8" i="72"/>
  <c r="AC8" i="72"/>
  <c r="AB8" i="72"/>
  <c r="AA8" i="72"/>
  <c r="Z8" i="72"/>
  <c r="Y8" i="72"/>
  <c r="X8" i="72"/>
  <c r="W8" i="72"/>
  <c r="V8" i="72"/>
  <c r="U8" i="72"/>
  <c r="T8" i="72"/>
  <c r="AM7" i="72"/>
  <c r="AL7" i="72"/>
  <c r="AK7" i="72"/>
  <c r="AJ7" i="72"/>
  <c r="AI7" i="72"/>
  <c r="AH7" i="72"/>
  <c r="AG7" i="72"/>
  <c r="AF7" i="72"/>
  <c r="AE7" i="72"/>
  <c r="AD7" i="72"/>
  <c r="AC7" i="72"/>
  <c r="AB7" i="72"/>
  <c r="AA7" i="72"/>
  <c r="Z7" i="72"/>
  <c r="Y7" i="72"/>
  <c r="X7" i="72"/>
  <c r="W7" i="72"/>
  <c r="V7" i="72"/>
  <c r="U7" i="72"/>
  <c r="T7" i="72"/>
  <c r="BB17" i="72"/>
  <c r="BA17" i="72"/>
  <c r="AZ17" i="72"/>
  <c r="AW17" i="72"/>
  <c r="AV17" i="72"/>
  <c r="AT17" i="72"/>
  <c r="AS17" i="72"/>
  <c r="AR17" i="72"/>
  <c r="AO17" i="72"/>
  <c r="AM6" i="72"/>
  <c r="AL6" i="72"/>
  <c r="AK6" i="72"/>
  <c r="AK16" i="72" s="1"/>
  <c r="AJ6" i="72"/>
  <c r="AJ14" i="72" s="1"/>
  <c r="AJ15" i="72" s="1"/>
  <c r="AI6" i="72"/>
  <c r="AI14" i="72" s="1"/>
  <c r="AI15" i="72" s="1"/>
  <c r="AH6" i="72"/>
  <c r="AG6" i="72"/>
  <c r="AG16" i="72" s="1"/>
  <c r="AF6" i="72"/>
  <c r="AF14" i="72" s="1"/>
  <c r="AF15" i="72" s="1"/>
  <c r="AE6" i="72"/>
  <c r="AE14" i="72" s="1"/>
  <c r="AE15" i="72" s="1"/>
  <c r="AD6" i="72"/>
  <c r="AC6" i="72"/>
  <c r="AC16" i="72" s="1"/>
  <c r="AB6" i="72"/>
  <c r="AB14" i="72" s="1"/>
  <c r="AB15" i="72" s="1"/>
  <c r="AA6" i="72"/>
  <c r="AA14" i="72" s="1"/>
  <c r="AA15" i="72" s="1"/>
  <c r="Z6" i="72"/>
  <c r="Z14" i="72" s="1"/>
  <c r="Y6" i="72"/>
  <c r="Y16" i="72" s="1"/>
  <c r="X6" i="72"/>
  <c r="X14" i="72" s="1"/>
  <c r="X15" i="72" s="1"/>
  <c r="W6" i="72"/>
  <c r="W14" i="72" s="1"/>
  <c r="W15" i="72" s="1"/>
  <c r="V6" i="72"/>
  <c r="U6" i="72"/>
  <c r="U16" i="72" s="1"/>
  <c r="T6" i="72"/>
  <c r="T14" i="72" s="1"/>
  <c r="T15" i="72" s="1"/>
  <c r="BB16" i="72"/>
  <c r="O14" i="72"/>
  <c r="N14" i="72"/>
  <c r="N20" i="72" s="1"/>
  <c r="N26" i="72" s="1"/>
  <c r="AX16" i="72"/>
  <c r="K14" i="72"/>
  <c r="K20" i="72" s="1"/>
  <c r="K26" i="72" s="1"/>
  <c r="AW27" i="72" s="1"/>
  <c r="J14" i="72"/>
  <c r="J20" i="72" s="1"/>
  <c r="J26" i="72" s="1"/>
  <c r="AT16" i="72"/>
  <c r="G14" i="72"/>
  <c r="G20" i="72" s="1"/>
  <c r="G26" i="72" s="1"/>
  <c r="AS27" i="72" s="1"/>
  <c r="F14" i="72"/>
  <c r="F20" i="72" s="1"/>
  <c r="F26" i="72" s="1"/>
  <c r="AR27" i="72" s="1"/>
  <c r="AP16" i="72"/>
  <c r="C14" i="72"/>
  <c r="C20" i="72" s="1"/>
  <c r="C26" i="72" s="1"/>
  <c r="AN27" i="72" l="1"/>
  <c r="AV27" i="72"/>
  <c r="W16" i="72"/>
  <c r="AV15" i="72"/>
  <c r="AR15" i="72"/>
  <c r="AK14" i="72"/>
  <c r="AK20" i="72" s="1"/>
  <c r="AK26" i="72" s="1"/>
  <c r="AK27" i="72" s="1"/>
  <c r="X16" i="72"/>
  <c r="AF16" i="72"/>
  <c r="AN15" i="72"/>
  <c r="Y27" i="73"/>
  <c r="L29" i="73" s="1"/>
  <c r="W27" i="73"/>
  <c r="J29" i="73" s="1"/>
  <c r="T27" i="73"/>
  <c r="AW15" i="72"/>
  <c r="AZ20" i="72"/>
  <c r="AZ26" i="72" s="1"/>
  <c r="AZ27" i="72" s="1"/>
  <c r="AE16" i="72"/>
  <c r="Z16" i="73"/>
  <c r="AA16" i="73" s="1"/>
  <c r="V16" i="72"/>
  <c r="Z16" i="72"/>
  <c r="AD16" i="72"/>
  <c r="AH16" i="72"/>
  <c r="AL16" i="72"/>
  <c r="AC14" i="72"/>
  <c r="AC20" i="72" s="1"/>
  <c r="AC26" i="72" s="1"/>
  <c r="AC27" i="72" s="1"/>
  <c r="AL14" i="72"/>
  <c r="AA16" i="72"/>
  <c r="AI16" i="72"/>
  <c r="AO26" i="72"/>
  <c r="AO27" i="72" s="1"/>
  <c r="Q27" i="73"/>
  <c r="U16" i="73"/>
  <c r="AA26" i="73"/>
  <c r="AM16" i="72"/>
  <c r="AM14" i="72"/>
  <c r="AM20" i="72" s="1"/>
  <c r="AM26" i="72" s="1"/>
  <c r="AM27" i="72" s="1"/>
  <c r="G29" i="73"/>
  <c r="AA25" i="73"/>
  <c r="AA23" i="73"/>
  <c r="AA22" i="73"/>
  <c r="U18" i="73"/>
  <c r="C29" i="73"/>
  <c r="O27" i="73"/>
  <c r="B29" i="73" s="1"/>
  <c r="S27" i="73"/>
  <c r="F29" i="73" s="1"/>
  <c r="V27" i="73"/>
  <c r="I29" i="73" s="1"/>
  <c r="AA15" i="73"/>
  <c r="X27" i="73"/>
  <c r="K29" i="73" s="1"/>
  <c r="E29" i="73"/>
  <c r="H27" i="73"/>
  <c r="AA8" i="73"/>
  <c r="D29" i="73"/>
  <c r="M18" i="73"/>
  <c r="M27" i="73" s="1"/>
  <c r="U10" i="73"/>
  <c r="AA7" i="73"/>
  <c r="Z19" i="73"/>
  <c r="Z18" i="73" s="1"/>
  <c r="Z10" i="73"/>
  <c r="AA10" i="73" s="1"/>
  <c r="BC26" i="72"/>
  <c r="O20" i="72"/>
  <c r="O26" i="72" s="1"/>
  <c r="BA27" i="72" s="1"/>
  <c r="X20" i="72"/>
  <c r="X26" i="72" s="1"/>
  <c r="X27" i="72" s="1"/>
  <c r="AF20" i="72"/>
  <c r="AF26" i="72" s="1"/>
  <c r="AF27" i="72" s="1"/>
  <c r="E20" i="72"/>
  <c r="E26" i="72" s="1"/>
  <c r="AQ27" i="72" s="1"/>
  <c r="M20" i="72"/>
  <c r="M26" i="72" s="1"/>
  <c r="AY27" i="72" s="1"/>
  <c r="V20" i="72"/>
  <c r="V26" i="72" s="1"/>
  <c r="V27" i="72" s="1"/>
  <c r="V15" i="72"/>
  <c r="AL20" i="72"/>
  <c r="AL26" i="72" s="1"/>
  <c r="AL27" i="72" s="1"/>
  <c r="AL15" i="72"/>
  <c r="AA20" i="72"/>
  <c r="AA26" i="72" s="1"/>
  <c r="AA27" i="72" s="1"/>
  <c r="AI20" i="72"/>
  <c r="AI26" i="72" s="1"/>
  <c r="AI27" i="72" s="1"/>
  <c r="H14" i="72"/>
  <c r="AT15" i="72" s="1"/>
  <c r="P14" i="72"/>
  <c r="BB15" i="72" s="1"/>
  <c r="Y14" i="72"/>
  <c r="AG14" i="72"/>
  <c r="AO15" i="72"/>
  <c r="T20" i="72"/>
  <c r="T26" i="72" s="1"/>
  <c r="T27" i="72" s="1"/>
  <c r="AB20" i="72"/>
  <c r="AB26" i="72" s="1"/>
  <c r="AB27" i="72" s="1"/>
  <c r="AJ20" i="72"/>
  <c r="AJ26" i="72" s="1"/>
  <c r="AJ27" i="72" s="1"/>
  <c r="D20" i="72"/>
  <c r="D26" i="72" s="1"/>
  <c r="AP27" i="72" s="1"/>
  <c r="L20" i="72"/>
  <c r="L26" i="72" s="1"/>
  <c r="AX27" i="72" s="1"/>
  <c r="U15" i="72"/>
  <c r="AD20" i="72"/>
  <c r="AD26" i="72" s="1"/>
  <c r="AD27" i="72" s="1"/>
  <c r="AD15" i="72"/>
  <c r="I20" i="72"/>
  <c r="I26" i="72" s="1"/>
  <c r="AU27" i="72" s="1"/>
  <c r="Q20" i="72"/>
  <c r="Q26" i="72" s="1"/>
  <c r="BC27" i="72" s="1"/>
  <c r="BC15" i="72"/>
  <c r="Z20" i="72"/>
  <c r="Z26" i="72" s="1"/>
  <c r="Z27" i="72" s="1"/>
  <c r="Z15" i="72"/>
  <c r="AH20" i="72"/>
  <c r="AH26" i="72" s="1"/>
  <c r="AH27" i="72" s="1"/>
  <c r="AH15" i="72"/>
  <c r="W20" i="72"/>
  <c r="W26" i="72" s="1"/>
  <c r="W27" i="72" s="1"/>
  <c r="AE20" i="72"/>
  <c r="AE26" i="72" s="1"/>
  <c r="AE27" i="72" s="1"/>
  <c r="AO16" i="72"/>
  <c r="AS16" i="72"/>
  <c r="AW16" i="72"/>
  <c r="BA16" i="72"/>
  <c r="AK15" i="72" l="1"/>
  <c r="AC15" i="72"/>
  <c r="AM15" i="72"/>
  <c r="U27" i="73"/>
  <c r="H29" i="73" s="1"/>
  <c r="Z27" i="73"/>
  <c r="M29" i="73" s="1"/>
  <c r="AA19" i="73"/>
  <c r="AA18" i="73"/>
  <c r="AA27" i="73" s="1"/>
  <c r="P20" i="72"/>
  <c r="P26" i="72" s="1"/>
  <c r="BB27" i="72" s="1"/>
  <c r="H20" i="72"/>
  <c r="H26" i="72" s="1"/>
  <c r="AT27" i="72" s="1"/>
  <c r="AG20" i="72"/>
  <c r="AG26" i="72" s="1"/>
  <c r="AG27" i="72" s="1"/>
  <c r="AG15" i="72"/>
  <c r="Y20" i="72"/>
  <c r="Y26" i="72" s="1"/>
  <c r="Y27" i="72" s="1"/>
  <c r="Y15" i="72"/>
  <c r="AI73" i="1" l="1"/>
  <c r="AK73" i="1" s="1"/>
  <c r="AK72" i="1" s="1"/>
  <c r="AI99" i="1" l="1"/>
  <c r="AK99" i="1" s="1"/>
  <c r="AK98" i="1" s="1"/>
  <c r="AK97" i="1" s="1"/>
  <c r="AK243" i="1" s="1"/>
  <c r="W10" i="14" s="1"/>
  <c r="B10" i="17" s="1"/>
  <c r="AI139" i="1"/>
  <c r="AK139" i="1" s="1"/>
  <c r="AF89" i="2"/>
  <c r="AF88" i="2"/>
  <c r="X88" i="2"/>
  <c r="G88" i="2"/>
  <c r="G89" i="2"/>
  <c r="AK137" i="1" l="1"/>
  <c r="AI94" i="1"/>
  <c r="AK94" i="1" s="1"/>
  <c r="AK85" i="1" s="1"/>
  <c r="AK242" i="1" s="1"/>
  <c r="W9" i="14" s="1"/>
  <c r="B9" i="17" s="1"/>
  <c r="AK141" i="1" l="1"/>
  <c r="AK142" i="1"/>
  <c r="AI230" i="1"/>
  <c r="AK230" i="1" s="1"/>
  <c r="AK228" i="1" s="1"/>
  <c r="AI215" i="1"/>
  <c r="AK215" i="1" s="1"/>
  <c r="AK213" i="1" s="1"/>
  <c r="AI190" i="1"/>
  <c r="AK190" i="1" s="1"/>
  <c r="AK188" i="1" s="1"/>
  <c r="AI177" i="1"/>
  <c r="AK177" i="1" s="1"/>
  <c r="AK175" i="1" s="1"/>
  <c r="AI165" i="1"/>
  <c r="AK165" i="1" s="1"/>
  <c r="AK163" i="1" s="1"/>
  <c r="AI152" i="1"/>
  <c r="AK152" i="1" s="1"/>
  <c r="BF17" i="1"/>
  <c r="BH17" i="1" s="1"/>
  <c r="V46" i="4"/>
  <c r="X46" i="4" s="1"/>
  <c r="X49" i="4" s="1"/>
  <c r="X78" i="2"/>
  <c r="G78" i="2"/>
  <c r="AF42" i="2"/>
  <c r="AF40" i="2"/>
  <c r="AF39" i="2"/>
  <c r="AF38" i="2"/>
  <c r="AF10" i="2"/>
  <c r="AI78" i="1"/>
  <c r="AK78" i="1" s="1"/>
  <c r="AI76" i="1"/>
  <c r="AK76" i="1" s="1"/>
  <c r="AK180" i="1" l="1"/>
  <c r="AK179" i="1"/>
  <c r="AK193" i="1"/>
  <c r="AK192" i="1"/>
  <c r="AF34" i="2"/>
  <c r="AK150" i="1"/>
  <c r="AK248" i="1"/>
  <c r="AK235" i="1"/>
  <c r="AK218" i="1"/>
  <c r="AK217" i="1"/>
  <c r="AK166" i="1"/>
  <c r="AK167" i="1"/>
  <c r="AK231" i="1"/>
  <c r="AK232" i="1"/>
  <c r="AI91" i="1"/>
  <c r="BH235" i="1" l="1"/>
  <c r="BH249" i="1"/>
  <c r="BH127" i="1"/>
  <c r="BH124" i="1" s="1"/>
  <c r="BH123" i="1" s="1"/>
  <c r="BH247" i="1" s="1"/>
  <c r="AT18" i="14" s="1"/>
  <c r="B24" i="17" s="1"/>
  <c r="W19" i="14"/>
  <c r="AT19" i="14" s="1"/>
  <c r="AK154" i="1"/>
  <c r="AK155" i="1"/>
  <c r="AK246" i="1"/>
  <c r="W18" i="14" s="1"/>
  <c r="B13" i="17" s="1"/>
  <c r="AO83" i="2"/>
  <c r="AQ83" i="2" s="1"/>
  <c r="AI114" i="1" l="1"/>
  <c r="AO82" i="2" l="1"/>
  <c r="AQ82" i="2" s="1"/>
  <c r="AO84" i="2"/>
  <c r="AQ84" i="2" s="1"/>
  <c r="AO85" i="2"/>
  <c r="AQ85" i="2" s="1"/>
  <c r="AO86" i="2"/>
  <c r="AQ86" i="2" s="1"/>
  <c r="AO87" i="2"/>
  <c r="AQ87" i="2" s="1"/>
  <c r="AO88" i="2"/>
  <c r="AQ88" i="2" s="1"/>
  <c r="AO89" i="2"/>
  <c r="AQ89" i="2" s="1"/>
  <c r="AO90" i="2"/>
  <c r="AQ90" i="2" s="1"/>
  <c r="AO91" i="2"/>
  <c r="AQ91" i="2" s="1"/>
  <c r="AO73" i="2"/>
  <c r="AQ73" i="2" s="1"/>
  <c r="AO74" i="2"/>
  <c r="AQ74" i="2" s="1"/>
  <c r="AO75" i="2"/>
  <c r="AQ75" i="2" s="1"/>
  <c r="AO76" i="2"/>
  <c r="AQ76" i="2" s="1"/>
  <c r="AO77" i="2"/>
  <c r="AQ77" i="2" s="1"/>
  <c r="AO78" i="2"/>
  <c r="AQ78" i="2" s="1"/>
  <c r="AO79" i="2"/>
  <c r="AQ79" i="2" s="1"/>
  <c r="AO80" i="2"/>
  <c r="AQ80" i="2" s="1"/>
  <c r="AO81" i="2"/>
  <c r="AQ81" i="2" s="1"/>
  <c r="AO36" i="2"/>
  <c r="AQ36" i="2" s="1"/>
  <c r="AO37" i="2"/>
  <c r="AQ37" i="2" s="1"/>
  <c r="AO38" i="2"/>
  <c r="AQ38" i="2" s="1"/>
  <c r="AO39" i="2"/>
  <c r="AQ39" i="2" s="1"/>
  <c r="AO40" i="2"/>
  <c r="AQ40" i="2" s="1"/>
  <c r="AO41" i="2"/>
  <c r="AQ41" i="2" s="1"/>
  <c r="AO42" i="2"/>
  <c r="AQ42" i="2" s="1"/>
  <c r="AO43" i="2"/>
  <c r="AQ43" i="2" s="1"/>
  <c r="AO19" i="2"/>
  <c r="AQ19" i="2" s="1"/>
  <c r="AO20" i="2"/>
  <c r="AQ20" i="2" s="1"/>
  <c r="AO21" i="2"/>
  <c r="AQ21" i="2" s="1"/>
  <c r="AO22" i="2"/>
  <c r="AQ22" i="2" s="1"/>
  <c r="AO23" i="2"/>
  <c r="AQ23" i="2" s="1"/>
  <c r="AO24" i="2"/>
  <c r="AQ24" i="2" s="1"/>
  <c r="AO25" i="2"/>
  <c r="AQ25" i="2" s="1"/>
  <c r="AO26" i="2"/>
  <c r="AQ26" i="2" s="1"/>
  <c r="AO27" i="2"/>
  <c r="AQ27" i="2" s="1"/>
  <c r="AO28" i="2"/>
  <c r="AQ28" i="2" s="1"/>
  <c r="AO18" i="2"/>
  <c r="AQ18" i="2" s="1"/>
  <c r="D13" i="71" l="1"/>
  <c r="D25" i="71" l="1"/>
  <c r="BF55" i="1" s="1"/>
  <c r="BH55" i="1" s="1"/>
  <c r="BH245" i="1" s="1"/>
  <c r="AT12" i="14" s="1"/>
  <c r="B22" i="17" s="1"/>
  <c r="D48" i="70"/>
  <c r="V49" i="4"/>
  <c r="D24" i="68"/>
  <c r="D34" i="68" s="1"/>
  <c r="D30" i="70" l="1"/>
  <c r="D49" i="70" s="1"/>
  <c r="BF54" i="1" s="1"/>
  <c r="BH54" i="1" s="1"/>
  <c r="BH244" i="1" s="1"/>
  <c r="AT11" i="14" s="1"/>
  <c r="B21" i="17" s="1"/>
  <c r="AF9" i="2"/>
  <c r="AF6" i="2" s="1"/>
  <c r="AI98" i="1"/>
  <c r="AI82" i="1"/>
  <c r="AK82" i="1" s="1"/>
  <c r="AI103" i="1" l="1"/>
  <c r="AK103" i="1" s="1"/>
  <c r="C49" i="2"/>
  <c r="E49" i="2"/>
  <c r="F49" i="2"/>
  <c r="G49" i="2"/>
  <c r="B49" i="2"/>
  <c r="AO50" i="2" l="1"/>
  <c r="AQ50" i="2" l="1"/>
  <c r="AI105" i="1"/>
  <c r="AK105" i="1" s="1"/>
  <c r="AO17" i="2" l="1"/>
  <c r="AQ17" i="2" s="1"/>
  <c r="Q58" i="1" l="1"/>
  <c r="S58" i="1"/>
  <c r="U58" i="1"/>
  <c r="W58" i="1"/>
  <c r="Y58" i="1"/>
  <c r="AA58" i="1"/>
  <c r="AC58" i="1"/>
  <c r="AE58" i="1"/>
  <c r="AG58" i="1"/>
  <c r="AK57" i="1"/>
  <c r="P58" i="1"/>
  <c r="AI21" i="1" l="1"/>
  <c r="AK21" i="1" s="1"/>
  <c r="AK20" i="1" s="1"/>
  <c r="AI24" i="1"/>
  <c r="AK24" i="1" s="1"/>
  <c r="X33" i="2" l="1"/>
  <c r="G33" i="2"/>
  <c r="AF32" i="2"/>
  <c r="X32" i="2"/>
  <c r="G32" i="2"/>
  <c r="AF31" i="2"/>
  <c r="X31" i="2"/>
  <c r="G31" i="2"/>
  <c r="G30" i="2"/>
  <c r="M33" i="68"/>
  <c r="O33" i="68" s="1"/>
  <c r="M32" i="68"/>
  <c r="O32" i="68" s="1"/>
  <c r="M31" i="68"/>
  <c r="O31" i="68" s="1"/>
  <c r="L24" i="68"/>
  <c r="L34" i="68" s="1"/>
  <c r="J24" i="68"/>
  <c r="J34" i="68" s="1"/>
  <c r="F24" i="68"/>
  <c r="F34" i="68" s="1"/>
  <c r="M23" i="68"/>
  <c r="O23" i="68" s="1"/>
  <c r="M22" i="68"/>
  <c r="M18" i="68"/>
  <c r="O18" i="68" s="1"/>
  <c r="M15" i="68"/>
  <c r="O15" i="68" s="1"/>
  <c r="M14" i="68"/>
  <c r="O14" i="68" s="1"/>
  <c r="M12" i="68"/>
  <c r="O12" i="68" s="1"/>
  <c r="M11" i="68"/>
  <c r="O11" i="68" s="1"/>
  <c r="M10" i="68"/>
  <c r="O10" i="68" s="1"/>
  <c r="M9" i="68"/>
  <c r="O9" i="68" s="1"/>
  <c r="L19" i="68"/>
  <c r="L35" i="68" s="1"/>
  <c r="K19" i="68"/>
  <c r="K35" i="68" s="1"/>
  <c r="J19" i="68"/>
  <c r="J35" i="68" s="1"/>
  <c r="H19" i="68"/>
  <c r="H35" i="68" s="1"/>
  <c r="F19" i="68"/>
  <c r="D19" i="68"/>
  <c r="D35" i="68" s="1"/>
  <c r="E29" i="2"/>
  <c r="F29" i="2"/>
  <c r="C34" i="2"/>
  <c r="E34" i="2"/>
  <c r="F34" i="2"/>
  <c r="G34" i="2"/>
  <c r="AO35" i="2"/>
  <c r="F35" i="68" l="1"/>
  <c r="O22" i="68"/>
  <c r="M34" i="68"/>
  <c r="AO34" i="2"/>
  <c r="AQ35" i="2"/>
  <c r="AQ34" i="2" s="1"/>
  <c r="G29" i="2"/>
  <c r="AF30" i="2"/>
  <c r="AF29" i="2" s="1"/>
  <c r="M19" i="68"/>
  <c r="AO33" i="2"/>
  <c r="AQ33" i="2" s="1"/>
  <c r="BF11" i="1"/>
  <c r="BH11" i="1" s="1"/>
  <c r="BH242" i="1" s="1"/>
  <c r="AT9" i="14" s="1"/>
  <c r="B19" i="17" s="1"/>
  <c r="AO31" i="2"/>
  <c r="AQ31" i="2" s="1"/>
  <c r="AO32" i="2"/>
  <c r="AQ32" i="2" s="1"/>
  <c r="X30" i="2"/>
  <c r="M24" i="68"/>
  <c r="O24" i="68" s="1"/>
  <c r="Q79" i="1"/>
  <c r="S79" i="1"/>
  <c r="U79" i="1"/>
  <c r="W79" i="1"/>
  <c r="Y79" i="1"/>
  <c r="AA79" i="1"/>
  <c r="AC79" i="1"/>
  <c r="AE79" i="1"/>
  <c r="AG79" i="1"/>
  <c r="AI79" i="1"/>
  <c r="AK79" i="1" s="1"/>
  <c r="AI83" i="1"/>
  <c r="AK83" i="1" s="1"/>
  <c r="AK81" i="1" s="1"/>
  <c r="Q75" i="1"/>
  <c r="S75" i="1"/>
  <c r="U75" i="1"/>
  <c r="W75" i="1"/>
  <c r="Y75" i="1"/>
  <c r="AA75" i="1"/>
  <c r="AC75" i="1"/>
  <c r="AE75" i="1"/>
  <c r="AG75" i="1"/>
  <c r="AI75" i="1"/>
  <c r="AK75" i="1" s="1"/>
  <c r="AK74" i="1" l="1"/>
  <c r="AK68" i="1" s="1"/>
  <c r="AK241" i="1" s="1"/>
  <c r="W8" i="14" s="1"/>
  <c r="B8" i="17" s="1"/>
  <c r="O34" i="68"/>
  <c r="M35" i="68"/>
  <c r="O19" i="68"/>
  <c r="O35" i="68" s="1"/>
  <c r="X29" i="2"/>
  <c r="X72" i="2" s="1"/>
  <c r="X92" i="2" s="1"/>
  <c r="D13" i="4"/>
  <c r="F13" i="4"/>
  <c r="H13" i="4"/>
  <c r="H27" i="4" s="1"/>
  <c r="J13" i="4"/>
  <c r="L13" i="4"/>
  <c r="L27" i="4" s="1"/>
  <c r="N13" i="4"/>
  <c r="P13" i="4"/>
  <c r="P27" i="4" s="1"/>
  <c r="R13" i="4"/>
  <c r="R27" i="4" s="1"/>
  <c r="T13" i="4"/>
  <c r="T27" i="4" s="1"/>
  <c r="V13" i="4"/>
  <c r="N27" i="4"/>
  <c r="D17" i="13"/>
  <c r="E17" i="13"/>
  <c r="F17" i="13"/>
  <c r="V27" i="4" l="1"/>
  <c r="X13" i="4"/>
  <c r="X27" i="4" s="1"/>
  <c r="AR23" i="14"/>
  <c r="BF248" i="1"/>
  <c r="BF242" i="1"/>
  <c r="AR9" i="14" s="1"/>
  <c r="AI248" i="1"/>
  <c r="BF235" i="1" s="1"/>
  <c r="BF231" i="1"/>
  <c r="BF232" i="1"/>
  <c r="BF233" i="1"/>
  <c r="AI233" i="1"/>
  <c r="AI235" i="1"/>
  <c r="AI228" i="1"/>
  <c r="AI232" i="1" s="1"/>
  <c r="BF217" i="1"/>
  <c r="BF218" i="1"/>
  <c r="BF219" i="1"/>
  <c r="AI219" i="1"/>
  <c r="AI213" i="1"/>
  <c r="AI217" i="1" s="1"/>
  <c r="AI201" i="1"/>
  <c r="AI204" i="1" s="1"/>
  <c r="BF204" i="1"/>
  <c r="BF205" i="1"/>
  <c r="BF206" i="1"/>
  <c r="AI206" i="1"/>
  <c r="BF192" i="1"/>
  <c r="BF193" i="1"/>
  <c r="BF194" i="1"/>
  <c r="AI194" i="1"/>
  <c r="AI188" i="1"/>
  <c r="AI192" i="1" s="1"/>
  <c r="BF179" i="1"/>
  <c r="BF180" i="1"/>
  <c r="BF181" i="1"/>
  <c r="AI181" i="1"/>
  <c r="AI175" i="1"/>
  <c r="AI180" i="1" s="1"/>
  <c r="BF166" i="1"/>
  <c r="BF167" i="1"/>
  <c r="BF168" i="1"/>
  <c r="AI168" i="1"/>
  <c r="AI163" i="1"/>
  <c r="AI167" i="1" s="1"/>
  <c r="BF154" i="1"/>
  <c r="BF155" i="1"/>
  <c r="BF156" i="1"/>
  <c r="AI156" i="1"/>
  <c r="AI150" i="1"/>
  <c r="AI155" i="1" s="1"/>
  <c r="BF141" i="1"/>
  <c r="BF142" i="1"/>
  <c r="BF143" i="1"/>
  <c r="AI143" i="1"/>
  <c r="AI137" i="1"/>
  <c r="AI141" i="1" s="1"/>
  <c r="D56" i="4"/>
  <c r="F56" i="4"/>
  <c r="H56" i="4"/>
  <c r="J56" i="4"/>
  <c r="L56" i="4"/>
  <c r="N56" i="4"/>
  <c r="P56" i="4"/>
  <c r="R56" i="4"/>
  <c r="T56" i="4"/>
  <c r="V56" i="4"/>
  <c r="BF58" i="1" s="1"/>
  <c r="BH58" i="1" s="1"/>
  <c r="D52" i="4"/>
  <c r="E52" i="4"/>
  <c r="F52" i="4"/>
  <c r="G52" i="4"/>
  <c r="H52" i="4"/>
  <c r="J52" i="4"/>
  <c r="L52" i="4"/>
  <c r="N52" i="4"/>
  <c r="P52" i="4"/>
  <c r="R52" i="4"/>
  <c r="T52" i="4"/>
  <c r="V52" i="4"/>
  <c r="BF57" i="1" s="1"/>
  <c r="BH57" i="1" s="1"/>
  <c r="D49" i="4"/>
  <c r="F49" i="4"/>
  <c r="H49" i="4"/>
  <c r="J49" i="4"/>
  <c r="L49" i="4"/>
  <c r="N49" i="4"/>
  <c r="P49" i="4"/>
  <c r="R49" i="4"/>
  <c r="T49" i="4"/>
  <c r="BF59" i="1"/>
  <c r="BH59" i="1" s="1"/>
  <c r="D38" i="4"/>
  <c r="F38" i="4"/>
  <c r="H38" i="4"/>
  <c r="J38" i="4"/>
  <c r="L38" i="4"/>
  <c r="N38" i="4"/>
  <c r="P38" i="4"/>
  <c r="R38" i="4"/>
  <c r="T38" i="4"/>
  <c r="V38" i="4"/>
  <c r="BF15" i="1" s="1"/>
  <c r="BH15" i="1" s="1"/>
  <c r="D35" i="4"/>
  <c r="F35" i="4"/>
  <c r="H35" i="4"/>
  <c r="J35" i="4"/>
  <c r="L35" i="4"/>
  <c r="N35" i="4"/>
  <c r="P35" i="4"/>
  <c r="T35" i="4"/>
  <c r="V35" i="4"/>
  <c r="BF14" i="1" s="1"/>
  <c r="BH14" i="1" s="1"/>
  <c r="BF16" i="1"/>
  <c r="BH16" i="1" s="1"/>
  <c r="E32" i="41"/>
  <c r="E29" i="41"/>
  <c r="E26" i="41"/>
  <c r="B26" i="41"/>
  <c r="E21" i="41"/>
  <c r="B21" i="41"/>
  <c r="E18" i="41"/>
  <c r="B18" i="41"/>
  <c r="E14" i="41"/>
  <c r="B14" i="41"/>
  <c r="E9" i="41"/>
  <c r="B9" i="41"/>
  <c r="AO65" i="2"/>
  <c r="AQ65" i="2" s="1"/>
  <c r="AO66" i="2"/>
  <c r="AQ66" i="2" s="1"/>
  <c r="AO67" i="2"/>
  <c r="AQ67" i="2" s="1"/>
  <c r="AO68" i="2"/>
  <c r="AQ68" i="2" s="1"/>
  <c r="AO69" i="2"/>
  <c r="AQ69" i="2" s="1"/>
  <c r="AO70" i="2"/>
  <c r="AQ70" i="2" s="1"/>
  <c r="AO71" i="2"/>
  <c r="AQ71" i="2" s="1"/>
  <c r="AO64" i="2"/>
  <c r="AQ64" i="2" s="1"/>
  <c r="AO51" i="2"/>
  <c r="AO52" i="2"/>
  <c r="AQ52" i="2" s="1"/>
  <c r="AO53" i="2"/>
  <c r="AQ53" i="2" s="1"/>
  <c r="AO54" i="2"/>
  <c r="AQ54" i="2" s="1"/>
  <c r="AO55" i="2"/>
  <c r="AQ55" i="2" s="1"/>
  <c r="AO56" i="2"/>
  <c r="AQ56" i="2" s="1"/>
  <c r="AO57" i="2"/>
  <c r="AQ57" i="2" s="1"/>
  <c r="AO58" i="2"/>
  <c r="AQ58" i="2" s="1"/>
  <c r="AO59" i="2"/>
  <c r="AQ59" i="2" s="1"/>
  <c r="AO60" i="2"/>
  <c r="AQ60" i="2" s="1"/>
  <c r="AO61" i="2"/>
  <c r="AQ61" i="2" s="1"/>
  <c r="AO62" i="2"/>
  <c r="AQ62" i="2" s="1"/>
  <c r="AO63" i="2"/>
  <c r="AQ63" i="2" s="1"/>
  <c r="AO46" i="2"/>
  <c r="AQ46" i="2" s="1"/>
  <c r="AO47" i="2"/>
  <c r="AQ47" i="2" s="1"/>
  <c r="AO48" i="2"/>
  <c r="AQ48" i="2" s="1"/>
  <c r="AO45" i="2"/>
  <c r="AO30" i="2"/>
  <c r="AO7" i="2"/>
  <c r="AM65" i="2"/>
  <c r="AM85" i="2"/>
  <c r="AM86" i="2"/>
  <c r="AM87" i="2"/>
  <c r="AM88" i="2"/>
  <c r="AM89" i="2"/>
  <c r="AM64" i="2"/>
  <c r="AM51" i="2"/>
  <c r="AM52" i="2"/>
  <c r="AM53" i="2"/>
  <c r="AM54" i="2"/>
  <c r="AM55" i="2"/>
  <c r="AM56" i="2"/>
  <c r="AM57" i="2"/>
  <c r="AM58" i="2"/>
  <c r="AM59" i="2"/>
  <c r="AM60" i="2"/>
  <c r="AM61" i="2"/>
  <c r="AM62" i="2"/>
  <c r="AM63" i="2"/>
  <c r="AM50" i="2"/>
  <c r="AM46" i="2"/>
  <c r="AM47" i="2"/>
  <c r="AM48" i="2"/>
  <c r="AM45" i="2"/>
  <c r="AM36" i="2"/>
  <c r="AM37" i="2"/>
  <c r="AM38" i="2"/>
  <c r="AM39" i="2"/>
  <c r="AM40" i="2"/>
  <c r="AM41" i="2"/>
  <c r="AM43" i="2"/>
  <c r="AM35" i="2"/>
  <c r="E33" i="41" l="1"/>
  <c r="AQ51" i="2"/>
  <c r="AQ49" i="2" s="1"/>
  <c r="AO49" i="2"/>
  <c r="AM49" i="2"/>
  <c r="AO44" i="2"/>
  <c r="AQ45" i="2"/>
  <c r="AQ44" i="2" s="1"/>
  <c r="AM44" i="2"/>
  <c r="AQ7" i="2"/>
  <c r="BH56" i="1"/>
  <c r="AQ30" i="2"/>
  <c r="AQ29" i="2" s="1"/>
  <c r="AO29" i="2"/>
  <c r="BD9" i="72"/>
  <c r="AI205" i="1"/>
  <c r="C14" i="5"/>
  <c r="BF18" i="1"/>
  <c r="U19" i="14"/>
  <c r="BF249" i="1"/>
  <c r="AI231" i="1"/>
  <c r="BF127" i="1"/>
  <c r="BF124" i="1" s="1"/>
  <c r="BF123" i="1" s="1"/>
  <c r="BF247" i="1" s="1"/>
  <c r="AR18" i="14" s="1"/>
  <c r="AI218" i="1"/>
  <c r="AI193" i="1"/>
  <c r="AI166" i="1"/>
  <c r="AI179" i="1"/>
  <c r="AI154" i="1"/>
  <c r="AI142" i="1"/>
  <c r="BF56" i="1"/>
  <c r="BF246" i="1" s="1"/>
  <c r="AR13" i="14" s="1"/>
  <c r="BF244" i="1"/>
  <c r="AR11" i="14" s="1"/>
  <c r="BF245" i="1"/>
  <c r="AR12" i="14" s="1"/>
  <c r="C6" i="2"/>
  <c r="E6" i="2"/>
  <c r="F6" i="2"/>
  <c r="F72" i="2" s="1"/>
  <c r="F92" i="2" s="1"/>
  <c r="G6" i="2"/>
  <c r="AA72" i="2"/>
  <c r="AA92" i="2" s="1"/>
  <c r="AF72" i="2"/>
  <c r="AF92" i="2" s="1"/>
  <c r="AM9" i="2"/>
  <c r="AM10" i="2"/>
  <c r="AM11" i="2"/>
  <c r="AM12" i="2"/>
  <c r="AM13" i="2"/>
  <c r="AM14" i="2"/>
  <c r="AM16" i="2"/>
  <c r="AM18" i="2"/>
  <c r="AM19" i="2"/>
  <c r="AM20" i="2"/>
  <c r="AM21" i="2"/>
  <c r="AM23" i="2"/>
  <c r="AM24" i="2"/>
  <c r="AM25" i="2"/>
  <c r="AM26" i="2"/>
  <c r="AM27" i="2"/>
  <c r="AO9" i="2"/>
  <c r="AQ9" i="2" s="1"/>
  <c r="AO10" i="2"/>
  <c r="AQ10" i="2" s="1"/>
  <c r="AO11" i="2"/>
  <c r="AQ11" i="2" s="1"/>
  <c r="AO12" i="2"/>
  <c r="AQ12" i="2" s="1"/>
  <c r="AO13" i="2"/>
  <c r="AQ13" i="2" s="1"/>
  <c r="AO14" i="2"/>
  <c r="AQ14" i="2" s="1"/>
  <c r="AO15" i="2"/>
  <c r="AQ15" i="2" s="1"/>
  <c r="AO16" i="2"/>
  <c r="AQ16" i="2" s="1"/>
  <c r="AM7" i="2"/>
  <c r="BF12" i="1" l="1"/>
  <c r="BF243" i="1" s="1"/>
  <c r="AR10" i="14" s="1"/>
  <c r="BH18" i="1"/>
  <c r="BH12" i="1" s="1"/>
  <c r="BH243" i="1" s="1"/>
  <c r="AT10" i="14" s="1"/>
  <c r="B20" i="17" s="1"/>
  <c r="AO6" i="2"/>
  <c r="AO72" i="2" s="1"/>
  <c r="AO92" i="2" s="1"/>
  <c r="AQ6" i="2"/>
  <c r="AQ72" i="2" s="1"/>
  <c r="AQ92" i="2" s="1"/>
  <c r="BH246" i="1"/>
  <c r="BH130" i="1"/>
  <c r="AR19" i="14"/>
  <c r="R19" i="72"/>
  <c r="BD19" i="72" s="1"/>
  <c r="BD18" i="72"/>
  <c r="BD13" i="72"/>
  <c r="BD10" i="72"/>
  <c r="BD12" i="72"/>
  <c r="BD11" i="72"/>
  <c r="G72" i="2"/>
  <c r="G92" i="2" s="1"/>
  <c r="BF8" i="1" s="1"/>
  <c r="BF10" i="1"/>
  <c r="BF253" i="1"/>
  <c r="AR22" i="14" s="1"/>
  <c r="BF130" i="1"/>
  <c r="AT13" i="14" l="1"/>
  <c r="BH253" i="1"/>
  <c r="BF241" i="1"/>
  <c r="AR8" i="14" s="1"/>
  <c r="BD8" i="72" s="1"/>
  <c r="BH10" i="1"/>
  <c r="BH241" i="1" s="1"/>
  <c r="AT8" i="14" s="1"/>
  <c r="B18" i="17" s="1"/>
  <c r="BF239" i="1"/>
  <c r="AR6" i="14" s="1"/>
  <c r="BD6" i="72" s="1"/>
  <c r="BH8" i="1"/>
  <c r="BD22" i="72"/>
  <c r="AI126" i="1"/>
  <c r="AI113" i="1"/>
  <c r="AI245" i="1" s="1"/>
  <c r="U12" i="14" s="1"/>
  <c r="AI101" i="1"/>
  <c r="AI97" i="1"/>
  <c r="AI243" i="1" s="1"/>
  <c r="AI87" i="1"/>
  <c r="AI85" i="1" s="1"/>
  <c r="AI81" i="1"/>
  <c r="AI74" i="1"/>
  <c r="AI72" i="1"/>
  <c r="AI70" i="1"/>
  <c r="AI69" i="1" s="1"/>
  <c r="AI54" i="1"/>
  <c r="AK54" i="1" s="1"/>
  <c r="AK53" i="1" s="1"/>
  <c r="AI38" i="1"/>
  <c r="AK38" i="1" s="1"/>
  <c r="AK9" i="1" s="1"/>
  <c r="AK8" i="1" s="1"/>
  <c r="AI20" i="1"/>
  <c r="AI12" i="1"/>
  <c r="AK239" i="1" l="1"/>
  <c r="AK240" i="1"/>
  <c r="AK130" i="1"/>
  <c r="AI100" i="1"/>
  <c r="AI244" i="1" s="1"/>
  <c r="AK101" i="1"/>
  <c r="AK100" i="1" s="1"/>
  <c r="AK244" i="1" s="1"/>
  <c r="W11" i="14" s="1"/>
  <c r="B11" i="17" s="1"/>
  <c r="AT22" i="14"/>
  <c r="B23" i="17"/>
  <c r="BH239" i="1"/>
  <c r="AT6" i="14" s="1"/>
  <c r="U11" i="14"/>
  <c r="R12" i="72"/>
  <c r="U10" i="14"/>
  <c r="AI123" i="1"/>
  <c r="AI246" i="1" s="1"/>
  <c r="U18" i="14" s="1"/>
  <c r="AI247" i="1"/>
  <c r="AI53" i="1"/>
  <c r="AI68" i="1"/>
  <c r="AI241" i="1" s="1"/>
  <c r="U8" i="14" s="1"/>
  <c r="AI9" i="1"/>
  <c r="AI8" i="1" s="1"/>
  <c r="C17" i="13"/>
  <c r="W7" i="14" l="1"/>
  <c r="AK253" i="1"/>
  <c r="AK129" i="1"/>
  <c r="W6" i="14"/>
  <c r="AK252" i="1"/>
  <c r="W21" i="14" s="1"/>
  <c r="AK250" i="1"/>
  <c r="AK122" i="1"/>
  <c r="AK128" i="1" s="1"/>
  <c r="AK234" i="1" s="1"/>
  <c r="AK236" i="1" s="1"/>
  <c r="B16" i="17"/>
  <c r="R8" i="72"/>
  <c r="R10" i="72"/>
  <c r="R18" i="72"/>
  <c r="R11" i="72"/>
  <c r="AI239" i="1"/>
  <c r="AI130" i="1"/>
  <c r="AI240" i="1"/>
  <c r="AI253" i="1" s="1"/>
  <c r="N20" i="17"/>
  <c r="N16" i="17"/>
  <c r="BD17" i="1"/>
  <c r="N21" i="17"/>
  <c r="BD172" i="1"/>
  <c r="B6" i="17" l="1"/>
  <c r="W14" i="14"/>
  <c r="W20" i="14" s="1"/>
  <c r="W26" i="14" s="1"/>
  <c r="W22" i="14"/>
  <c r="BH256" i="1"/>
  <c r="AT25" i="14" s="1"/>
  <c r="B7" i="17"/>
  <c r="AT17" i="14"/>
  <c r="U6" i="14"/>
  <c r="U7" i="14"/>
  <c r="AG118" i="1"/>
  <c r="R6" i="72" l="1"/>
  <c r="R7" i="72"/>
  <c r="BD17" i="72" s="1"/>
  <c r="AR17" i="14"/>
  <c r="BF256" i="1"/>
  <c r="AR25" i="14" s="1"/>
  <c r="BD25" i="72" s="1"/>
  <c r="U22" i="14"/>
  <c r="R22" i="72" s="1"/>
  <c r="AG103" i="1"/>
  <c r="AC71" i="2" l="1"/>
  <c r="AC72" i="2" s="1"/>
  <c r="AC92" i="2" s="1"/>
  <c r="BD59" i="1" l="1"/>
  <c r="AQ23" i="14"/>
  <c r="AP23" i="14"/>
  <c r="BD58" i="1"/>
  <c r="BD57" i="1"/>
  <c r="BD15" i="1"/>
  <c r="BD14" i="1"/>
  <c r="BD16" i="1"/>
  <c r="BD248" i="1"/>
  <c r="BD242" i="1"/>
  <c r="AP9" i="14" s="1"/>
  <c r="BD233" i="1"/>
  <c r="BD232" i="1"/>
  <c r="BD231" i="1"/>
  <c r="BE230" i="1"/>
  <c r="BE226" i="1"/>
  <c r="BD219" i="1"/>
  <c r="BD218" i="1"/>
  <c r="BD217" i="1"/>
  <c r="BE216" i="1"/>
  <c r="BE215" i="1"/>
  <c r="BE213" i="1"/>
  <c r="BE212" i="1"/>
  <c r="BD206" i="1"/>
  <c r="BD205" i="1"/>
  <c r="BD204" i="1"/>
  <c r="BE203" i="1"/>
  <c r="BE202" i="1"/>
  <c r="BE200" i="1"/>
  <c r="BE199" i="1"/>
  <c r="BD194" i="1"/>
  <c r="BD193" i="1"/>
  <c r="BD192" i="1"/>
  <c r="BE191" i="1"/>
  <c r="BE190" i="1"/>
  <c r="BE188" i="1"/>
  <c r="BE187" i="1"/>
  <c r="BD181" i="1"/>
  <c r="BD180" i="1"/>
  <c r="BD179" i="1"/>
  <c r="BE178" i="1"/>
  <c r="BE177" i="1"/>
  <c r="BE175" i="1"/>
  <c r="BE174" i="1"/>
  <c r="BD168" i="1"/>
  <c r="BD167" i="1"/>
  <c r="BD166" i="1"/>
  <c r="BE162" i="1"/>
  <c r="BE161" i="1"/>
  <c r="BD156" i="1"/>
  <c r="BD155" i="1"/>
  <c r="BD154" i="1"/>
  <c r="BE153" i="1"/>
  <c r="BE149" i="1"/>
  <c r="BD143" i="1"/>
  <c r="BD142" i="1"/>
  <c r="BD141" i="1"/>
  <c r="BE136" i="1"/>
  <c r="BE140" i="1"/>
  <c r="AG248" i="1"/>
  <c r="BD249" i="1" s="1"/>
  <c r="AG233" i="1"/>
  <c r="AG235" i="1"/>
  <c r="AG228" i="1"/>
  <c r="AG231" i="1" s="1"/>
  <c r="AG219" i="1"/>
  <c r="AH219" i="1"/>
  <c r="AG213" i="1"/>
  <c r="AG218" i="1" s="1"/>
  <c r="AG206" i="1"/>
  <c r="AH206" i="1"/>
  <c r="AG201" i="1"/>
  <c r="AG204" i="1" s="1"/>
  <c r="AG194" i="1"/>
  <c r="AH194" i="1"/>
  <c r="AG188" i="1"/>
  <c r="AG192" i="1" s="1"/>
  <c r="AG181" i="1"/>
  <c r="AH181" i="1"/>
  <c r="AG175" i="1"/>
  <c r="AG180" i="1" s="1"/>
  <c r="AG168" i="1"/>
  <c r="AG163" i="1"/>
  <c r="AG166" i="1" s="1"/>
  <c r="AG156" i="1"/>
  <c r="AG150" i="1"/>
  <c r="AG155" i="1" s="1"/>
  <c r="AG143" i="1"/>
  <c r="AH143" i="1"/>
  <c r="AG137" i="1"/>
  <c r="AG141" i="1" s="1"/>
  <c r="AG126" i="1"/>
  <c r="AG247" i="1" s="1"/>
  <c r="AG114" i="1"/>
  <c r="AG113" i="1" s="1"/>
  <c r="AG105" i="1"/>
  <c r="AG101" i="1"/>
  <c r="AG98" i="1"/>
  <c r="AG97" i="1" s="1"/>
  <c r="AG243" i="1" s="1"/>
  <c r="S10" i="14" s="1"/>
  <c r="AG91" i="1"/>
  <c r="AG87" i="1"/>
  <c r="AG81" i="1"/>
  <c r="AG74" i="1"/>
  <c r="AG72" i="1"/>
  <c r="AG70" i="1"/>
  <c r="AG69" i="1" s="1"/>
  <c r="AG57" i="1"/>
  <c r="AG54" i="1"/>
  <c r="AG40" i="1"/>
  <c r="AG38" i="1"/>
  <c r="AG20" i="1"/>
  <c r="AG12" i="1"/>
  <c r="BD54" i="1" l="1"/>
  <c r="BD244" i="1" s="1"/>
  <c r="AP11" i="14" s="1"/>
  <c r="BD55" i="1"/>
  <c r="BD245" i="1" s="1"/>
  <c r="AP12" i="14" s="1"/>
  <c r="AG205" i="1"/>
  <c r="AG193" i="1"/>
  <c r="AG100" i="1"/>
  <c r="AG244" i="1" s="1"/>
  <c r="S11" i="14" s="1"/>
  <c r="AG142" i="1"/>
  <c r="AG167" i="1"/>
  <c r="AG85" i="1"/>
  <c r="AG242" i="1" s="1"/>
  <c r="S9" i="14" s="1"/>
  <c r="AG232" i="1"/>
  <c r="AG245" i="1"/>
  <c r="S12" i="14" s="1"/>
  <c r="AG217" i="1"/>
  <c r="AG179" i="1"/>
  <c r="AG154" i="1"/>
  <c r="S19" i="14"/>
  <c r="AP19" i="14" s="1"/>
  <c r="BD127" i="1"/>
  <c r="BD124" i="1" s="1"/>
  <c r="BD123" i="1" s="1"/>
  <c r="BD247" i="1" s="1"/>
  <c r="AP18" i="14" s="1"/>
  <c r="BD235" i="1"/>
  <c r="BD56" i="1"/>
  <c r="BD246" i="1" s="1"/>
  <c r="AP13" i="14" s="1"/>
  <c r="BD18" i="1"/>
  <c r="BD12" i="1" s="1"/>
  <c r="BD243" i="1" s="1"/>
  <c r="AP10" i="14" s="1"/>
  <c r="AG123" i="1"/>
  <c r="AG68" i="1"/>
  <c r="AG241" i="1" s="1"/>
  <c r="S8" i="14" s="1"/>
  <c r="AG53" i="1"/>
  <c r="AG240" i="1" s="1"/>
  <c r="S7" i="14" s="1"/>
  <c r="AG9" i="1"/>
  <c r="AG8" i="1" s="1"/>
  <c r="R30" i="4"/>
  <c r="R35" i="4" s="1"/>
  <c r="AG253" i="1" l="1"/>
  <c r="S22" i="14" s="1"/>
  <c r="AG130" i="1"/>
  <c r="AP17" i="14"/>
  <c r="BD130" i="1"/>
  <c r="BD253" i="1"/>
  <c r="AP22" i="14" s="1"/>
  <c r="AG122" i="1"/>
  <c r="AG128" i="1" s="1"/>
  <c r="AG234" i="1" s="1"/>
  <c r="AG236" i="1" s="1"/>
  <c r="AG239" i="1"/>
  <c r="S6" i="14" s="1"/>
  <c r="S14" i="14" s="1"/>
  <c r="AG129" i="1"/>
  <c r="AG246" i="1"/>
  <c r="M21" i="17"/>
  <c r="BD256" i="1" l="1"/>
  <c r="AP25" i="14" s="1"/>
  <c r="S18" i="14"/>
  <c r="S20" i="14" s="1"/>
  <c r="S26" i="14" s="1"/>
  <c r="AG252" i="1"/>
  <c r="AG250" i="1"/>
  <c r="AE228" i="1"/>
  <c r="S21" i="14" l="1"/>
  <c r="BB14" i="1"/>
  <c r="BB16" i="1" l="1"/>
  <c r="AE54" i="1"/>
  <c r="AF56" i="1"/>
  <c r="AH56" i="1" s="1"/>
  <c r="Q54" i="1" l="1"/>
  <c r="S54" i="1"/>
  <c r="U54" i="1"/>
  <c r="V54" i="1"/>
  <c r="W54" i="1"/>
  <c r="Y54" i="1"/>
  <c r="AA54" i="1"/>
  <c r="AC54" i="1"/>
  <c r="BB17" i="1"/>
  <c r="BB248" i="1"/>
  <c r="BB242" i="1"/>
  <c r="BB18" i="1" l="1"/>
  <c r="BB12" i="1" s="1"/>
  <c r="BB243" i="1" s="1"/>
  <c r="AN10" i="14" s="1"/>
  <c r="AO23" i="14"/>
  <c r="AN23" i="14"/>
  <c r="AN9" i="14"/>
  <c r="AE248" i="1"/>
  <c r="BB249" i="1" s="1"/>
  <c r="AE235" i="1"/>
  <c r="AE233" i="1"/>
  <c r="AE232" i="1"/>
  <c r="AE231" i="1"/>
  <c r="AF219" i="1"/>
  <c r="AE219" i="1"/>
  <c r="AE213" i="1"/>
  <c r="AE217" i="1" s="1"/>
  <c r="AE201" i="1"/>
  <c r="AE205" i="1" s="1"/>
  <c r="AE206" i="1"/>
  <c r="AF206" i="1"/>
  <c r="AE194" i="1"/>
  <c r="AE188" i="1"/>
  <c r="AE192" i="1" s="1"/>
  <c r="AF194" i="1"/>
  <c r="AF181" i="1"/>
  <c r="AE181" i="1"/>
  <c r="AE175" i="1"/>
  <c r="AE180" i="1" s="1"/>
  <c r="AE168" i="1"/>
  <c r="AE163" i="1"/>
  <c r="AE167" i="1" s="1"/>
  <c r="AE156" i="1"/>
  <c r="AE150" i="1"/>
  <c r="AE155" i="1" s="1"/>
  <c r="AF143" i="1"/>
  <c r="AE143" i="1"/>
  <c r="AE137" i="1"/>
  <c r="AE142" i="1" s="1"/>
  <c r="BB233" i="1"/>
  <c r="BB232" i="1"/>
  <c r="BB231" i="1"/>
  <c r="BB219" i="1"/>
  <c r="BB218" i="1"/>
  <c r="BB217" i="1"/>
  <c r="BB206" i="1"/>
  <c r="BB205" i="1"/>
  <c r="BB204" i="1"/>
  <c r="BB194" i="1"/>
  <c r="BB193" i="1"/>
  <c r="BB192" i="1"/>
  <c r="BB181" i="1"/>
  <c r="BB180" i="1"/>
  <c r="BB179" i="1"/>
  <c r="BB168" i="1"/>
  <c r="BB167" i="1"/>
  <c r="BB166" i="1"/>
  <c r="BB156" i="1"/>
  <c r="BB155" i="1"/>
  <c r="BB154" i="1"/>
  <c r="BC152" i="1"/>
  <c r="BE152" i="1" s="1"/>
  <c r="BC150" i="1"/>
  <c r="BE150" i="1" s="1"/>
  <c r="BB143" i="1"/>
  <c r="BB142" i="1"/>
  <c r="BB141" i="1"/>
  <c r="BB56" i="1"/>
  <c r="BB246" i="1" s="1"/>
  <c r="AN13" i="14" s="1"/>
  <c r="AE126" i="1"/>
  <c r="AE123" i="1" s="1"/>
  <c r="AE114" i="1"/>
  <c r="AE113" i="1" s="1"/>
  <c r="AE245" i="1" s="1"/>
  <c r="Q12" i="14" s="1"/>
  <c r="AE105" i="1"/>
  <c r="AE100" i="1" s="1"/>
  <c r="AE244" i="1" s="1"/>
  <c r="Q11" i="14" s="1"/>
  <c r="AE98" i="1"/>
  <c r="AE97" i="1" s="1"/>
  <c r="AE243" i="1" s="1"/>
  <c r="Q10" i="14" s="1"/>
  <c r="AE91" i="1"/>
  <c r="AE87" i="1"/>
  <c r="AE81" i="1"/>
  <c r="AE74" i="1"/>
  <c r="AE72" i="1"/>
  <c r="AE70" i="1"/>
  <c r="AE69" i="1" s="1"/>
  <c r="AE57" i="1"/>
  <c r="AE53" i="1" s="1"/>
  <c r="AE240" i="1" s="1"/>
  <c r="Q7" i="14" s="1"/>
  <c r="AE40" i="1"/>
  <c r="AE38" i="1"/>
  <c r="AE24" i="1"/>
  <c r="AE20" i="1"/>
  <c r="AE12" i="1"/>
  <c r="BB54" i="1" l="1"/>
  <c r="BB244" i="1" s="1"/>
  <c r="AE193" i="1"/>
  <c r="AE247" i="1"/>
  <c r="AE218" i="1"/>
  <c r="AE204" i="1"/>
  <c r="AE179" i="1"/>
  <c r="AE166" i="1"/>
  <c r="AE154" i="1"/>
  <c r="BB127" i="1"/>
  <c r="BB124" i="1" s="1"/>
  <c r="BB123" i="1" s="1"/>
  <c r="BB247" i="1" s="1"/>
  <c r="AN18" i="14" s="1"/>
  <c r="AE141" i="1"/>
  <c r="AE246" i="1"/>
  <c r="Q18" i="14" s="1"/>
  <c r="Q19" i="14"/>
  <c r="AN19" i="14" s="1"/>
  <c r="BB235" i="1"/>
  <c r="AE130" i="1"/>
  <c r="AE253" i="1"/>
  <c r="Q22" i="14" s="1"/>
  <c r="AE85" i="1"/>
  <c r="AE242" i="1" s="1"/>
  <c r="Q9" i="14" s="1"/>
  <c r="AE68" i="1"/>
  <c r="AE241" i="1" s="1"/>
  <c r="Q8" i="14" s="1"/>
  <c r="AE9" i="1"/>
  <c r="AE8" i="1" s="1"/>
  <c r="AN11" i="14" l="1"/>
  <c r="AE239" i="1"/>
  <c r="AE122" i="1"/>
  <c r="AE128" i="1" s="1"/>
  <c r="AE234" i="1" s="1"/>
  <c r="AE236" i="1" s="1"/>
  <c r="AE129" i="1"/>
  <c r="AE250" i="1" l="1"/>
  <c r="Q6" i="14"/>
  <c r="AE252" i="1"/>
  <c r="Q21" i="14" l="1"/>
  <c r="Q14" i="14"/>
  <c r="AZ17" i="1"/>
  <c r="Y87" i="2"/>
  <c r="Y88" i="2"/>
  <c r="Y89" i="2"/>
  <c r="O88" i="2"/>
  <c r="O89" i="2"/>
  <c r="AC52" i="1"/>
  <c r="AD52" i="1" s="1"/>
  <c r="AF52" i="1" s="1"/>
  <c r="AH52" i="1" s="1"/>
  <c r="Q20" i="14" l="1"/>
  <c r="Q26" i="14" s="1"/>
  <c r="C25" i="15"/>
  <c r="C26" i="15" s="1"/>
  <c r="D25" i="15"/>
  <c r="D26" i="15" s="1"/>
  <c r="E25" i="15"/>
  <c r="E26" i="15" s="1"/>
  <c r="F25" i="15"/>
  <c r="F26" i="15" s="1"/>
  <c r="G25" i="15"/>
  <c r="G26" i="15" s="1"/>
  <c r="B25" i="15"/>
  <c r="H24" i="15"/>
  <c r="H23" i="15"/>
  <c r="AC57" i="1" l="1"/>
  <c r="AD67" i="1"/>
  <c r="AF67" i="1" s="1"/>
  <c r="AH67" i="1" s="1"/>
  <c r="AC91" i="1" l="1"/>
  <c r="AZ18" i="1" l="1"/>
  <c r="AZ58" i="1"/>
  <c r="AZ57" i="1"/>
  <c r="AZ59" i="1"/>
  <c r="AZ15" i="1"/>
  <c r="AZ14" i="1"/>
  <c r="AM23" i="14"/>
  <c r="AL23" i="14"/>
  <c r="AZ248" i="1"/>
  <c r="AZ245" i="1"/>
  <c r="AL12" i="14" s="1"/>
  <c r="AZ242" i="1"/>
  <c r="AL9" i="14" s="1"/>
  <c r="AC248" i="1"/>
  <c r="AZ127" i="1" s="1"/>
  <c r="AZ124" i="1" s="1"/>
  <c r="AZ123" i="1" s="1"/>
  <c r="AZ247" i="1" s="1"/>
  <c r="AL18" i="14" s="1"/>
  <c r="AC235" i="1"/>
  <c r="AC233" i="1"/>
  <c r="AC228" i="1"/>
  <c r="AC231" i="1" s="1"/>
  <c r="AD219" i="1"/>
  <c r="AC219" i="1"/>
  <c r="AC213" i="1"/>
  <c r="AC217" i="1" s="1"/>
  <c r="AD206" i="1"/>
  <c r="AC206" i="1"/>
  <c r="AC201" i="1"/>
  <c r="AC205" i="1" s="1"/>
  <c r="C196" i="1"/>
  <c r="E196" i="1" s="1"/>
  <c r="R196" i="1"/>
  <c r="T196" i="1" s="1"/>
  <c r="AO196" i="1"/>
  <c r="AQ196" i="1" s="1"/>
  <c r="AV196" i="1"/>
  <c r="C197" i="1"/>
  <c r="AO197" i="1"/>
  <c r="AQ197" i="1" s="1"/>
  <c r="AS197" i="1" s="1"/>
  <c r="AU197" i="1" s="1"/>
  <c r="AV197" i="1"/>
  <c r="C198" i="1"/>
  <c r="AO198" i="1"/>
  <c r="AQ198" i="1" s="1"/>
  <c r="AS198" i="1" s="1"/>
  <c r="AU198" i="1" s="1"/>
  <c r="AW198" i="1" s="1"/>
  <c r="AY198" i="1" s="1"/>
  <c r="BA198" i="1" s="1"/>
  <c r="BC198" i="1" s="1"/>
  <c r="C199" i="1"/>
  <c r="C200" i="1"/>
  <c r="AU200" i="1"/>
  <c r="B201" i="1"/>
  <c r="B205" i="1" s="1"/>
  <c r="D201" i="1"/>
  <c r="D205" i="1" s="1"/>
  <c r="F201" i="1"/>
  <c r="F205" i="1" s="1"/>
  <c r="H201" i="1"/>
  <c r="H204" i="1" s="1"/>
  <c r="J201" i="1"/>
  <c r="J205" i="1" s="1"/>
  <c r="L201" i="1"/>
  <c r="L205" i="1" s="1"/>
  <c r="N201" i="1"/>
  <c r="N205" i="1" s="1"/>
  <c r="P201" i="1"/>
  <c r="P204" i="1" s="1"/>
  <c r="Q201" i="1"/>
  <c r="Q204" i="1" s="1"/>
  <c r="S201" i="1"/>
  <c r="S204" i="1" s="1"/>
  <c r="U201" i="1"/>
  <c r="U204" i="1" s="1"/>
  <c r="W201" i="1"/>
  <c r="W204" i="1" s="1"/>
  <c r="AA201" i="1"/>
  <c r="AA204" i="1" s="1"/>
  <c r="AO201" i="1"/>
  <c r="AQ201" i="1" s="1"/>
  <c r="C202" i="1"/>
  <c r="E202" i="1" s="1"/>
  <c r="T202" i="1"/>
  <c r="AU202" i="1"/>
  <c r="C203" i="1"/>
  <c r="E203" i="1" s="1"/>
  <c r="G203" i="1" s="1"/>
  <c r="I203" i="1" s="1"/>
  <c r="K203" i="1" s="1"/>
  <c r="M203" i="1" s="1"/>
  <c r="R203" i="1"/>
  <c r="R201" i="1" s="1"/>
  <c r="Y203" i="1"/>
  <c r="Y201" i="1" s="1"/>
  <c r="Y204" i="1" s="1"/>
  <c r="AM204" i="1"/>
  <c r="AN204" i="1"/>
  <c r="AP204" i="1"/>
  <c r="AR204" i="1"/>
  <c r="AT204" i="1"/>
  <c r="AX204" i="1"/>
  <c r="AM205" i="1"/>
  <c r="AN205" i="1"/>
  <c r="AP205" i="1"/>
  <c r="AR205" i="1"/>
  <c r="AT205" i="1"/>
  <c r="AX205" i="1"/>
  <c r="B206" i="1"/>
  <c r="D206" i="1"/>
  <c r="E206" i="1"/>
  <c r="F206" i="1"/>
  <c r="G206" i="1"/>
  <c r="H206" i="1"/>
  <c r="I206" i="1"/>
  <c r="J206" i="1"/>
  <c r="K206" i="1"/>
  <c r="L206" i="1"/>
  <c r="M206" i="1"/>
  <c r="N206" i="1"/>
  <c r="O206" i="1"/>
  <c r="P206" i="1"/>
  <c r="Q206" i="1"/>
  <c r="R206" i="1"/>
  <c r="S206" i="1"/>
  <c r="T206" i="1"/>
  <c r="U206" i="1"/>
  <c r="V206" i="1"/>
  <c r="W206" i="1"/>
  <c r="X206" i="1"/>
  <c r="Y206" i="1"/>
  <c r="Z206" i="1"/>
  <c r="AA206" i="1"/>
  <c r="AB206" i="1"/>
  <c r="AM206" i="1"/>
  <c r="AN206" i="1"/>
  <c r="AP206" i="1"/>
  <c r="AR206" i="1"/>
  <c r="AT206" i="1"/>
  <c r="AV206" i="1"/>
  <c r="AX206" i="1"/>
  <c r="AD194" i="1"/>
  <c r="AC194" i="1"/>
  <c r="AC188" i="1"/>
  <c r="AC193" i="1" s="1"/>
  <c r="AD181" i="1"/>
  <c r="AC181" i="1"/>
  <c r="AC175" i="1"/>
  <c r="AC180" i="1" s="1"/>
  <c r="AC168" i="1"/>
  <c r="AC163" i="1"/>
  <c r="AC166" i="1" s="1"/>
  <c r="AC156" i="1"/>
  <c r="AC150" i="1"/>
  <c r="AC154" i="1" s="1"/>
  <c r="AO158" i="1"/>
  <c r="AQ158" i="1" s="1"/>
  <c r="C159" i="1"/>
  <c r="E159" i="1" s="1"/>
  <c r="G159" i="1" s="1"/>
  <c r="I159" i="1" s="1"/>
  <c r="R159" i="1"/>
  <c r="T159" i="1" s="1"/>
  <c r="AO159" i="1"/>
  <c r="AQ159" i="1" s="1"/>
  <c r="AS159" i="1" s="1"/>
  <c r="AU159" i="1" s="1"/>
  <c r="AW159" i="1" s="1"/>
  <c r="AY159" i="1" s="1"/>
  <c r="BA159" i="1" s="1"/>
  <c r="BC159" i="1" s="1"/>
  <c r="BE159" i="1" s="1"/>
  <c r="C160" i="1"/>
  <c r="M160" i="1"/>
  <c r="AO160" i="1"/>
  <c r="AQ160" i="1" s="1"/>
  <c r="AS160" i="1" s="1"/>
  <c r="AU160" i="1" s="1"/>
  <c r="AW160" i="1" s="1"/>
  <c r="AY160" i="1" s="1"/>
  <c r="BA160" i="1" s="1"/>
  <c r="BC160" i="1" s="1"/>
  <c r="BE160" i="1" s="1"/>
  <c r="C161" i="1"/>
  <c r="M161" i="1"/>
  <c r="C162" i="1"/>
  <c r="M162" i="1"/>
  <c r="O162" i="1" s="1"/>
  <c r="O168" i="1" s="1"/>
  <c r="T162" i="1"/>
  <c r="V162" i="1" s="1"/>
  <c r="AU162" i="1"/>
  <c r="B163" i="1"/>
  <c r="B166" i="1" s="1"/>
  <c r="D163" i="1"/>
  <c r="D167" i="1" s="1"/>
  <c r="F163" i="1"/>
  <c r="F166" i="1" s="1"/>
  <c r="H163" i="1"/>
  <c r="H167" i="1" s="1"/>
  <c r="J163" i="1"/>
  <c r="J166" i="1" s="1"/>
  <c r="L163" i="1"/>
  <c r="L166" i="1" s="1"/>
  <c r="N163" i="1"/>
  <c r="N166" i="1" s="1"/>
  <c r="P163" i="1"/>
  <c r="P166" i="1" s="1"/>
  <c r="Q163" i="1"/>
  <c r="Q166" i="1" s="1"/>
  <c r="S163" i="1"/>
  <c r="S167" i="1" s="1"/>
  <c r="U163" i="1"/>
  <c r="U166" i="1" s="1"/>
  <c r="W163" i="1"/>
  <c r="W166" i="1" s="1"/>
  <c r="Y163" i="1"/>
  <c r="Y166" i="1" s="1"/>
  <c r="AA163" i="1"/>
  <c r="AA166" i="1" s="1"/>
  <c r="AO163" i="1"/>
  <c r="AQ163" i="1" s="1"/>
  <c r="AS163" i="1" s="1"/>
  <c r="C164" i="1"/>
  <c r="T164" i="1"/>
  <c r="V164" i="1" s="1"/>
  <c r="AU164" i="1"/>
  <c r="AW164" i="1" s="1"/>
  <c r="AY164" i="1" s="1"/>
  <c r="BA164" i="1" s="1"/>
  <c r="BC164" i="1" s="1"/>
  <c r="BE164" i="1" s="1"/>
  <c r="C165" i="1"/>
  <c r="E165" i="1" s="1"/>
  <c r="G165" i="1" s="1"/>
  <c r="I165" i="1" s="1"/>
  <c r="K165" i="1" s="1"/>
  <c r="M165" i="1" s="1"/>
  <c r="R165" i="1"/>
  <c r="R163" i="1" s="1"/>
  <c r="AU165" i="1"/>
  <c r="AW165" i="1" s="1"/>
  <c r="AY165" i="1" s="1"/>
  <c r="BA165" i="1" s="1"/>
  <c r="BC165" i="1" s="1"/>
  <c r="BE165" i="1" s="1"/>
  <c r="AM166" i="1"/>
  <c r="AN166" i="1"/>
  <c r="AP166" i="1"/>
  <c r="AR166" i="1"/>
  <c r="AT166" i="1"/>
  <c r="AV166" i="1"/>
  <c r="AX166" i="1"/>
  <c r="AM167" i="1"/>
  <c r="AN167" i="1"/>
  <c r="AP167" i="1"/>
  <c r="AR167" i="1"/>
  <c r="AT167" i="1"/>
  <c r="AV167" i="1"/>
  <c r="AX167" i="1"/>
  <c r="B168" i="1"/>
  <c r="D168" i="1"/>
  <c r="E168" i="1"/>
  <c r="F168" i="1"/>
  <c r="G168" i="1"/>
  <c r="H168" i="1"/>
  <c r="I168" i="1"/>
  <c r="J168" i="1"/>
  <c r="K168" i="1"/>
  <c r="L168" i="1"/>
  <c r="N168" i="1"/>
  <c r="P168" i="1"/>
  <c r="Q168" i="1"/>
  <c r="R168" i="1"/>
  <c r="S168" i="1"/>
  <c r="U168" i="1"/>
  <c r="W168" i="1"/>
  <c r="Y168" i="1"/>
  <c r="AA168" i="1"/>
  <c r="AM168" i="1"/>
  <c r="AN168" i="1"/>
  <c r="AP168" i="1"/>
  <c r="AR168" i="1"/>
  <c r="AT168" i="1"/>
  <c r="AV168" i="1"/>
  <c r="AX168" i="1"/>
  <c r="E170" i="1"/>
  <c r="G170" i="1" s="1"/>
  <c r="I170" i="1" s="1"/>
  <c r="K170" i="1" s="1"/>
  <c r="M170" i="1" s="1"/>
  <c r="X170" i="1"/>
  <c r="Z170" i="1" s="1"/>
  <c r="AB170" i="1" s="1"/>
  <c r="AD170" i="1" s="1"/>
  <c r="AF170" i="1" s="1"/>
  <c r="AH170" i="1" s="1"/>
  <c r="C146" i="1"/>
  <c r="E146" i="1" s="1"/>
  <c r="R146" i="1"/>
  <c r="T146" i="1" s="1"/>
  <c r="V146" i="1" s="1"/>
  <c r="X146" i="1" s="1"/>
  <c r="AM146" i="1"/>
  <c r="AO146" i="1" s="1"/>
  <c r="C147" i="1"/>
  <c r="T147" i="1"/>
  <c r="V147" i="1" s="1"/>
  <c r="AM147" i="1"/>
  <c r="AO147" i="1" s="1"/>
  <c r="AQ147" i="1" s="1"/>
  <c r="AS147" i="1" s="1"/>
  <c r="AU147" i="1" s="1"/>
  <c r="AW147" i="1" s="1"/>
  <c r="AY147" i="1" s="1"/>
  <c r="BA147" i="1" s="1"/>
  <c r="BC147" i="1" s="1"/>
  <c r="BE147" i="1" s="1"/>
  <c r="C148" i="1"/>
  <c r="AM148" i="1"/>
  <c r="AO148" i="1" s="1"/>
  <c r="AQ148" i="1" s="1"/>
  <c r="AS148" i="1" s="1"/>
  <c r="AU148" i="1" s="1"/>
  <c r="AW148" i="1" s="1"/>
  <c r="AY148" i="1" s="1"/>
  <c r="BA148" i="1" s="1"/>
  <c r="BC148" i="1" s="1"/>
  <c r="BE148" i="1" s="1"/>
  <c r="C149" i="1"/>
  <c r="B150" i="1"/>
  <c r="B154" i="1" s="1"/>
  <c r="D150" i="1"/>
  <c r="D154" i="1" s="1"/>
  <c r="F150" i="1"/>
  <c r="F155" i="1" s="1"/>
  <c r="H150" i="1"/>
  <c r="H155" i="1" s="1"/>
  <c r="J150" i="1"/>
  <c r="J154" i="1" s="1"/>
  <c r="L150" i="1"/>
  <c r="L154" i="1" s="1"/>
  <c r="N150" i="1"/>
  <c r="N154" i="1" s="1"/>
  <c r="P150" i="1"/>
  <c r="P154" i="1" s="1"/>
  <c r="Q150" i="1"/>
  <c r="Q154" i="1" s="1"/>
  <c r="S150" i="1"/>
  <c r="S154" i="1" s="1"/>
  <c r="U150" i="1"/>
  <c r="U154" i="1" s="1"/>
  <c r="W150" i="1"/>
  <c r="W155" i="1" s="1"/>
  <c r="Y150" i="1"/>
  <c r="Y154" i="1" s="1"/>
  <c r="AA150" i="1"/>
  <c r="AA154" i="1" s="1"/>
  <c r="AU150" i="1"/>
  <c r="C151" i="1"/>
  <c r="T151" i="1"/>
  <c r="V151" i="1" s="1"/>
  <c r="AM151" i="1"/>
  <c r="AO151" i="1" s="1"/>
  <c r="C152" i="1"/>
  <c r="E152" i="1" s="1"/>
  <c r="R152" i="1"/>
  <c r="R150" i="1" s="1"/>
  <c r="AU152" i="1"/>
  <c r="C153" i="1"/>
  <c r="F154" i="1"/>
  <c r="AN154" i="1"/>
  <c r="AP154" i="1"/>
  <c r="AR154" i="1"/>
  <c r="AT154" i="1"/>
  <c r="AV154" i="1"/>
  <c r="AX154" i="1"/>
  <c r="AN155" i="1"/>
  <c r="AP155" i="1"/>
  <c r="AR155" i="1"/>
  <c r="AT155" i="1"/>
  <c r="AV155" i="1"/>
  <c r="AX155" i="1"/>
  <c r="B156" i="1"/>
  <c r="D156" i="1"/>
  <c r="E156" i="1"/>
  <c r="F156" i="1"/>
  <c r="G156" i="1"/>
  <c r="H156" i="1"/>
  <c r="I156" i="1"/>
  <c r="J156" i="1"/>
  <c r="K156" i="1"/>
  <c r="L156" i="1"/>
  <c r="M156" i="1"/>
  <c r="N156" i="1"/>
  <c r="O156" i="1"/>
  <c r="P156" i="1"/>
  <c r="Q156" i="1"/>
  <c r="R156" i="1"/>
  <c r="S156" i="1"/>
  <c r="U156" i="1"/>
  <c r="W156" i="1"/>
  <c r="Y156" i="1"/>
  <c r="AA156" i="1"/>
  <c r="AN156" i="1"/>
  <c r="AP156" i="1"/>
  <c r="AR156" i="1"/>
  <c r="AT156" i="1"/>
  <c r="AV156" i="1"/>
  <c r="AX156" i="1"/>
  <c r="AD143" i="1"/>
  <c r="AC143" i="1"/>
  <c r="AC137" i="1"/>
  <c r="AC141" i="1" s="1"/>
  <c r="AZ233" i="1"/>
  <c r="AZ232" i="1"/>
  <c r="AZ231" i="1"/>
  <c r="AZ219" i="1"/>
  <c r="AZ218" i="1"/>
  <c r="AZ217" i="1"/>
  <c r="AZ206" i="1"/>
  <c r="AZ205" i="1"/>
  <c r="AZ204" i="1"/>
  <c r="AZ194" i="1"/>
  <c r="AZ193" i="1"/>
  <c r="AZ192" i="1"/>
  <c r="AZ181" i="1"/>
  <c r="AZ180" i="1"/>
  <c r="AZ179" i="1"/>
  <c r="AZ168" i="1"/>
  <c r="AZ167" i="1"/>
  <c r="AZ166" i="1"/>
  <c r="AZ156" i="1"/>
  <c r="AZ155" i="1"/>
  <c r="AZ154" i="1"/>
  <c r="AZ143" i="1"/>
  <c r="AZ142" i="1"/>
  <c r="AZ141" i="1"/>
  <c r="AC126" i="1"/>
  <c r="AC123" i="1" s="1"/>
  <c r="AC114" i="1"/>
  <c r="AC113" i="1" s="1"/>
  <c r="AC245" i="1" s="1"/>
  <c r="O12" i="14" s="1"/>
  <c r="AC105" i="1"/>
  <c r="AC98" i="1"/>
  <c r="AC97" i="1" s="1"/>
  <c r="AC243" i="1" s="1"/>
  <c r="O10" i="14" s="1"/>
  <c r="AC87" i="1"/>
  <c r="AC85" i="1" s="1"/>
  <c r="AC242" i="1" s="1"/>
  <c r="O9" i="14" s="1"/>
  <c r="AC81" i="1"/>
  <c r="AC74" i="1"/>
  <c r="AC72" i="1"/>
  <c r="AC70" i="1"/>
  <c r="AC69" i="1" s="1"/>
  <c r="AC53" i="1"/>
  <c r="AC40" i="1"/>
  <c r="AC38" i="1"/>
  <c r="AC24" i="1"/>
  <c r="AC20" i="1"/>
  <c r="AC12" i="1"/>
  <c r="N204" i="1" l="1"/>
  <c r="P167" i="1"/>
  <c r="L204" i="1"/>
  <c r="D204" i="1"/>
  <c r="T156" i="1"/>
  <c r="W167" i="1"/>
  <c r="H205" i="1"/>
  <c r="C206" i="1"/>
  <c r="AV205" i="1"/>
  <c r="P205" i="1"/>
  <c r="T168" i="1"/>
  <c r="AO168" i="1"/>
  <c r="AV204" i="1"/>
  <c r="T165" i="1"/>
  <c r="V165" i="1" s="1"/>
  <c r="X165" i="1" s="1"/>
  <c r="Z165" i="1" s="1"/>
  <c r="AB165" i="1" s="1"/>
  <c r="AD165" i="1" s="1"/>
  <c r="AF165" i="1" s="1"/>
  <c r="AH165" i="1" s="1"/>
  <c r="C168" i="1"/>
  <c r="P155" i="1"/>
  <c r="F204" i="1"/>
  <c r="AO167" i="1"/>
  <c r="T203" i="1"/>
  <c r="V203" i="1" s="1"/>
  <c r="X203" i="1" s="1"/>
  <c r="Z203" i="1" s="1"/>
  <c r="AB203" i="1" s="1"/>
  <c r="AD203" i="1" s="1"/>
  <c r="AF203" i="1" s="1"/>
  <c r="AH203" i="1" s="1"/>
  <c r="H154" i="1"/>
  <c r="T152" i="1"/>
  <c r="V152" i="1" s="1"/>
  <c r="X152" i="1" s="1"/>
  <c r="Z152" i="1" s="1"/>
  <c r="AB152" i="1" s="1"/>
  <c r="AD152" i="1" s="1"/>
  <c r="AF152" i="1" s="1"/>
  <c r="AH152" i="1" s="1"/>
  <c r="AZ54" i="1"/>
  <c r="AZ244" i="1" s="1"/>
  <c r="AL11" i="14" s="1"/>
  <c r="AQ151" i="1"/>
  <c r="AO156" i="1"/>
  <c r="AU163" i="1"/>
  <c r="AU168" i="1" s="1"/>
  <c r="AS168" i="1"/>
  <c r="AM156" i="1"/>
  <c r="C150" i="1"/>
  <c r="C154" i="1" s="1"/>
  <c r="C156" i="1"/>
  <c r="AO166" i="1"/>
  <c r="D166" i="1"/>
  <c r="J204" i="1"/>
  <c r="B204" i="1"/>
  <c r="AZ16" i="1"/>
  <c r="AZ12" i="1" s="1"/>
  <c r="AZ243" i="1" s="1"/>
  <c r="AL10" i="14" s="1"/>
  <c r="X162" i="1"/>
  <c r="V168" i="1"/>
  <c r="C163" i="1"/>
  <c r="C166" i="1" s="1"/>
  <c r="BE198" i="1"/>
  <c r="E151" i="1"/>
  <c r="G151" i="1" s="1"/>
  <c r="I151" i="1" s="1"/>
  <c r="K151" i="1" s="1"/>
  <c r="M151" i="1" s="1"/>
  <c r="V202" i="1"/>
  <c r="X202" i="1" s="1"/>
  <c r="AW197" i="1"/>
  <c r="AY197" i="1" s="1"/>
  <c r="BA197" i="1" s="1"/>
  <c r="BC197" i="1" s="1"/>
  <c r="BE197" i="1" s="1"/>
  <c r="AA167" i="1"/>
  <c r="N155" i="1"/>
  <c r="AC130" i="1"/>
  <c r="AA155" i="1"/>
  <c r="W154" i="1"/>
  <c r="L167" i="1"/>
  <c r="H166" i="1"/>
  <c r="AC204" i="1"/>
  <c r="L155" i="1"/>
  <c r="D155" i="1"/>
  <c r="S166" i="1"/>
  <c r="S155" i="1"/>
  <c r="J155" i="1"/>
  <c r="B155" i="1"/>
  <c r="AC232" i="1"/>
  <c r="AC240" i="1"/>
  <c r="AC253" i="1" s="1"/>
  <c r="O22" i="14" s="1"/>
  <c r="AC247" i="1"/>
  <c r="AC218" i="1"/>
  <c r="AC179" i="1"/>
  <c r="AC167" i="1"/>
  <c r="AC246" i="1"/>
  <c r="O18" i="14" s="1"/>
  <c r="AC155" i="1"/>
  <c r="AZ235" i="1"/>
  <c r="AC142" i="1"/>
  <c r="AZ249" i="1"/>
  <c r="O19" i="14"/>
  <c r="AL19" i="14" s="1"/>
  <c r="AZ56" i="1"/>
  <c r="AZ246" i="1" s="1"/>
  <c r="AL13" i="14" s="1"/>
  <c r="E201" i="1"/>
  <c r="E204" i="1" s="1"/>
  <c r="G202" i="1"/>
  <c r="AQ206" i="1"/>
  <c r="AS201" i="1"/>
  <c r="AQ204" i="1"/>
  <c r="AQ205" i="1"/>
  <c r="AS196" i="1"/>
  <c r="R204" i="1"/>
  <c r="R205" i="1"/>
  <c r="V196" i="1"/>
  <c r="C201" i="1"/>
  <c r="C205" i="1" s="1"/>
  <c r="AO206" i="1"/>
  <c r="AO205" i="1"/>
  <c r="AA205" i="1"/>
  <c r="W205" i="1"/>
  <c r="S205" i="1"/>
  <c r="AO204" i="1"/>
  <c r="G196" i="1"/>
  <c r="Y205" i="1"/>
  <c r="U205" i="1"/>
  <c r="Q205" i="1"/>
  <c r="AC192" i="1"/>
  <c r="K159" i="1"/>
  <c r="X164" i="1"/>
  <c r="V159" i="1"/>
  <c r="AS158" i="1"/>
  <c r="AQ166" i="1"/>
  <c r="AQ167" i="1"/>
  <c r="R167" i="1"/>
  <c r="N167" i="1"/>
  <c r="J167" i="1"/>
  <c r="F167" i="1"/>
  <c r="B167" i="1"/>
  <c r="R166" i="1"/>
  <c r="AQ168" i="1"/>
  <c r="M168" i="1"/>
  <c r="Y167" i="1"/>
  <c r="U167" i="1"/>
  <c r="Q167" i="1"/>
  <c r="E164" i="1"/>
  <c r="X151" i="1"/>
  <c r="AQ146" i="1"/>
  <c r="AO154" i="1"/>
  <c r="AO155" i="1"/>
  <c r="G146" i="1"/>
  <c r="Z146" i="1"/>
  <c r="R154" i="1"/>
  <c r="R155" i="1"/>
  <c r="X147" i="1"/>
  <c r="V156" i="1"/>
  <c r="G152" i="1"/>
  <c r="I152" i="1" s="1"/>
  <c r="K152" i="1" s="1"/>
  <c r="M152" i="1" s="1"/>
  <c r="AM155" i="1"/>
  <c r="Y155" i="1"/>
  <c r="U155" i="1"/>
  <c r="Q155" i="1"/>
  <c r="AM154" i="1"/>
  <c r="AC100" i="1"/>
  <c r="AC244" i="1" s="1"/>
  <c r="O11" i="14" s="1"/>
  <c r="AC68" i="1"/>
  <c r="AC241" i="1" s="1"/>
  <c r="O8" i="14" s="1"/>
  <c r="AC9" i="1"/>
  <c r="AC8" i="1" s="1"/>
  <c r="K20" i="17"/>
  <c r="AX17" i="1"/>
  <c r="C155" i="1" l="1"/>
  <c r="X201" i="1"/>
  <c r="E150" i="1"/>
  <c r="E154" i="1" s="1"/>
  <c r="T163" i="1"/>
  <c r="T167" i="1" s="1"/>
  <c r="V163" i="1"/>
  <c r="V166" i="1" s="1"/>
  <c r="T201" i="1"/>
  <c r="Z202" i="1"/>
  <c r="Z201" i="1" s="1"/>
  <c r="AW163" i="1"/>
  <c r="AW168" i="1" s="1"/>
  <c r="T150" i="1"/>
  <c r="T154" i="1" s="1"/>
  <c r="V150" i="1"/>
  <c r="V155" i="1" s="1"/>
  <c r="C167" i="1"/>
  <c r="V201" i="1"/>
  <c r="V204" i="1" s="1"/>
  <c r="AQ156" i="1"/>
  <c r="AS151" i="1"/>
  <c r="Z162" i="1"/>
  <c r="X168" i="1"/>
  <c r="I150" i="1"/>
  <c r="C204" i="1"/>
  <c r="E205" i="1"/>
  <c r="AZ130" i="1"/>
  <c r="AZ253" i="1"/>
  <c r="AZ256" i="1" s="1"/>
  <c r="AL25" i="14" s="1"/>
  <c r="O7" i="14"/>
  <c r="AL17" i="14" s="1"/>
  <c r="AC239" i="1"/>
  <c r="AC122" i="1"/>
  <c r="AC128" i="1" s="1"/>
  <c r="AC234" i="1" s="1"/>
  <c r="AC236" i="1" s="1"/>
  <c r="AC129" i="1"/>
  <c r="AU201" i="1"/>
  <c r="AS206" i="1"/>
  <c r="I202" i="1"/>
  <c r="G201" i="1"/>
  <c r="G204" i="1" s="1"/>
  <c r="AU196" i="1"/>
  <c r="AS204" i="1"/>
  <c r="AS205" i="1"/>
  <c r="I196" i="1"/>
  <c r="X196" i="1"/>
  <c r="M159" i="1"/>
  <c r="X159" i="1"/>
  <c r="AU158" i="1"/>
  <c r="AS166" i="1"/>
  <c r="AU166" i="1" s="1"/>
  <c r="AS167" i="1"/>
  <c r="E163" i="1"/>
  <c r="G164" i="1"/>
  <c r="X163" i="1"/>
  <c r="Z164" i="1"/>
  <c r="M150" i="1"/>
  <c r="O151" i="1"/>
  <c r="O150" i="1" s="1"/>
  <c r="X150" i="1"/>
  <c r="X155" i="1" s="1"/>
  <c r="Z151" i="1"/>
  <c r="Z147" i="1"/>
  <c r="X156" i="1"/>
  <c r="K150" i="1"/>
  <c r="G150" i="1"/>
  <c r="G155" i="1" s="1"/>
  <c r="AB146" i="1"/>
  <c r="AD146" i="1" s="1"/>
  <c r="I146" i="1"/>
  <c r="AQ154" i="1"/>
  <c r="AQ155" i="1"/>
  <c r="AS146" i="1"/>
  <c r="L24" i="17"/>
  <c r="J24" i="17"/>
  <c r="L23" i="17"/>
  <c r="L20" i="17"/>
  <c r="L16" i="17"/>
  <c r="T166" i="1" l="1"/>
  <c r="AB202" i="1"/>
  <c r="AD202" i="1" s="1"/>
  <c r="V167" i="1"/>
  <c r="AY163" i="1"/>
  <c r="BA163" i="1" s="1"/>
  <c r="E155" i="1"/>
  <c r="T155" i="1"/>
  <c r="T205" i="1"/>
  <c r="T204" i="1"/>
  <c r="X154" i="1"/>
  <c r="V205" i="1"/>
  <c r="V154" i="1"/>
  <c r="AU151" i="1"/>
  <c r="AS156" i="1"/>
  <c r="AB201" i="1"/>
  <c r="AF146" i="1"/>
  <c r="AB162" i="1"/>
  <c r="Z168" i="1"/>
  <c r="AL22" i="14"/>
  <c r="G154" i="1"/>
  <c r="O6" i="14"/>
  <c r="AC252" i="1"/>
  <c r="AC250" i="1"/>
  <c r="K196" i="1"/>
  <c r="G205" i="1"/>
  <c r="AU204" i="1"/>
  <c r="AU205" i="1"/>
  <c r="AW196" i="1"/>
  <c r="I201" i="1"/>
  <c r="I204" i="1" s="1"/>
  <c r="K202" i="1"/>
  <c r="Z196" i="1"/>
  <c r="X205" i="1"/>
  <c r="X204" i="1"/>
  <c r="AU206" i="1"/>
  <c r="AW201" i="1"/>
  <c r="AU167" i="1"/>
  <c r="AW158" i="1"/>
  <c r="Z159" i="1"/>
  <c r="X166" i="1"/>
  <c r="X167" i="1"/>
  <c r="G163" i="1"/>
  <c r="I164" i="1"/>
  <c r="Z163" i="1"/>
  <c r="AB164" i="1"/>
  <c r="E167" i="1"/>
  <c r="E166" i="1"/>
  <c r="O159" i="1"/>
  <c r="Z150" i="1"/>
  <c r="AB151" i="1"/>
  <c r="AS154" i="1"/>
  <c r="AS155" i="1"/>
  <c r="AU146" i="1"/>
  <c r="O154" i="1"/>
  <c r="O155" i="1"/>
  <c r="I154" i="1"/>
  <c r="I155" i="1"/>
  <c r="K146" i="1"/>
  <c r="Z156" i="1"/>
  <c r="AB147" i="1"/>
  <c r="AX59" i="1"/>
  <c r="AX56" i="1" s="1"/>
  <c r="AY168" i="1" l="1"/>
  <c r="AU156" i="1"/>
  <c r="AW151" i="1"/>
  <c r="AH146" i="1"/>
  <c r="AB150" i="1"/>
  <c r="AD151" i="1"/>
  <c r="AB168" i="1"/>
  <c r="AD162" i="1"/>
  <c r="BC163" i="1"/>
  <c r="BA168" i="1"/>
  <c r="AF202" i="1"/>
  <c r="AD201" i="1"/>
  <c r="AB156" i="1"/>
  <c r="AD147" i="1"/>
  <c r="AB163" i="1"/>
  <c r="AD164" i="1"/>
  <c r="O21" i="14"/>
  <c r="O14" i="14"/>
  <c r="AB196" i="1"/>
  <c r="AD196" i="1" s="1"/>
  <c r="Z205" i="1"/>
  <c r="M196" i="1"/>
  <c r="AY201" i="1"/>
  <c r="AW206" i="1"/>
  <c r="AW204" i="1"/>
  <c r="AW205" i="1"/>
  <c r="AY196" i="1"/>
  <c r="BA196" i="1" s="1"/>
  <c r="I205" i="1"/>
  <c r="Z204" i="1"/>
  <c r="M202" i="1"/>
  <c r="K201" i="1"/>
  <c r="K204" i="1" s="1"/>
  <c r="G166" i="1"/>
  <c r="G167" i="1"/>
  <c r="AY158" i="1"/>
  <c r="BA158" i="1" s="1"/>
  <c r="AW166" i="1"/>
  <c r="AW167" i="1"/>
  <c r="K164" i="1"/>
  <c r="I163" i="1"/>
  <c r="AB159" i="1"/>
  <c r="AD159" i="1" s="1"/>
  <c r="Z166" i="1"/>
  <c r="Z167" i="1"/>
  <c r="AW146" i="1"/>
  <c r="AU154" i="1"/>
  <c r="AU155" i="1"/>
  <c r="M146" i="1"/>
  <c r="Z154" i="1"/>
  <c r="Z155" i="1"/>
  <c r="AA24" i="1"/>
  <c r="AB37" i="1"/>
  <c r="AD37" i="1" s="1"/>
  <c r="AF37" i="1" s="1"/>
  <c r="AH37" i="1" s="1"/>
  <c r="AY151" i="1" l="1"/>
  <c r="AW156" i="1"/>
  <c r="AD204" i="1"/>
  <c r="AF196" i="1"/>
  <c r="AD205" i="1"/>
  <c r="AH202" i="1"/>
  <c r="AH201" i="1" s="1"/>
  <c r="AF201" i="1"/>
  <c r="BC196" i="1"/>
  <c r="BA205" i="1"/>
  <c r="AY206" i="1"/>
  <c r="BA201" i="1"/>
  <c r="AF147" i="1"/>
  <c r="AD156" i="1"/>
  <c r="AF151" i="1"/>
  <c r="AD150" i="1"/>
  <c r="AD155" i="1" s="1"/>
  <c r="AD163" i="1"/>
  <c r="AD166" i="1" s="1"/>
  <c r="AF164" i="1"/>
  <c r="AF162" i="1"/>
  <c r="AD168" i="1"/>
  <c r="AF159" i="1"/>
  <c r="BC158" i="1"/>
  <c r="BA167" i="1"/>
  <c r="BA166" i="1"/>
  <c r="BC168" i="1"/>
  <c r="BE163" i="1"/>
  <c r="BE168" i="1" s="1"/>
  <c r="AB154" i="1"/>
  <c r="AB155" i="1"/>
  <c r="K205" i="1"/>
  <c r="O20" i="14"/>
  <c r="O26" i="14" s="1"/>
  <c r="M201" i="1"/>
  <c r="M204" i="1" s="1"/>
  <c r="O202" i="1"/>
  <c r="O201" i="1" s="1"/>
  <c r="O196" i="1"/>
  <c r="AY204" i="1"/>
  <c r="AY205" i="1"/>
  <c r="AB205" i="1"/>
  <c r="AB204" i="1"/>
  <c r="AB167" i="1"/>
  <c r="AB166" i="1"/>
  <c r="I166" i="1"/>
  <c r="I167" i="1"/>
  <c r="AY166" i="1"/>
  <c r="AY167" i="1"/>
  <c r="K163" i="1"/>
  <c r="M164" i="1"/>
  <c r="AY146" i="1"/>
  <c r="BA146" i="1" s="1"/>
  <c r="AW154" i="1"/>
  <c r="AW155" i="1"/>
  <c r="AD167" i="1" l="1"/>
  <c r="AF204" i="1"/>
  <c r="AY156" i="1"/>
  <c r="BA151" i="1"/>
  <c r="BE196" i="1"/>
  <c r="BC205" i="1"/>
  <c r="AH162" i="1"/>
  <c r="AH168" i="1" s="1"/>
  <c r="AF168" i="1"/>
  <c r="AD154" i="1"/>
  <c r="AH147" i="1"/>
  <c r="AH156" i="1" s="1"/>
  <c r="AF156" i="1"/>
  <c r="BC166" i="1"/>
  <c r="BE158" i="1"/>
  <c r="BC167" i="1"/>
  <c r="AH151" i="1"/>
  <c r="AH150" i="1" s="1"/>
  <c r="AF150" i="1"/>
  <c r="BA206" i="1"/>
  <c r="BC201" i="1"/>
  <c r="BA204" i="1"/>
  <c r="BC146" i="1"/>
  <c r="BA155" i="1"/>
  <c r="AH164" i="1"/>
  <c r="AH163" i="1" s="1"/>
  <c r="AF163" i="1"/>
  <c r="AF167" i="1" s="1"/>
  <c r="AH159" i="1"/>
  <c r="AH196" i="1"/>
  <c r="AH205" i="1" s="1"/>
  <c r="AF205" i="1"/>
  <c r="O205" i="1"/>
  <c r="M205" i="1"/>
  <c r="O204" i="1"/>
  <c r="M163" i="1"/>
  <c r="O164" i="1"/>
  <c r="O163" i="1" s="1"/>
  <c r="K167" i="1"/>
  <c r="K166" i="1"/>
  <c r="AY154" i="1"/>
  <c r="AY155" i="1"/>
  <c r="BA156" i="1" l="1"/>
  <c r="BC151" i="1"/>
  <c r="BC154" i="1" s="1"/>
  <c r="AF166" i="1"/>
  <c r="BA154" i="1"/>
  <c r="BE201" i="1"/>
  <c r="BE206" i="1" s="1"/>
  <c r="BC206" i="1"/>
  <c r="BE167" i="1"/>
  <c r="BE166" i="1"/>
  <c r="BC204" i="1"/>
  <c r="BE146" i="1"/>
  <c r="BC155" i="1"/>
  <c r="AF154" i="1"/>
  <c r="AF155" i="1"/>
  <c r="AH204" i="1"/>
  <c r="AH167" i="1"/>
  <c r="AH166" i="1"/>
  <c r="AH154" i="1"/>
  <c r="AH155" i="1"/>
  <c r="BE205" i="1"/>
  <c r="O166" i="1"/>
  <c r="O167" i="1"/>
  <c r="M167" i="1"/>
  <c r="M166" i="1"/>
  <c r="AX18" i="1"/>
  <c r="AX15" i="1"/>
  <c r="AX14" i="1"/>
  <c r="BE204" i="1" l="1"/>
  <c r="BE151" i="1"/>
  <c r="BE156" i="1" s="1"/>
  <c r="BC156" i="1"/>
  <c r="BE155" i="1"/>
  <c r="BE154" i="1" l="1"/>
  <c r="BB55" i="1"/>
  <c r="AX54" i="1"/>
  <c r="AX244" i="1" s="1"/>
  <c r="AJ11" i="14" s="1"/>
  <c r="AK23" i="14"/>
  <c r="AJ23" i="14"/>
  <c r="AX233" i="1"/>
  <c r="AX232" i="1"/>
  <c r="AX231" i="1"/>
  <c r="AX219" i="1"/>
  <c r="AX218" i="1"/>
  <c r="AX217" i="1"/>
  <c r="AX194" i="1"/>
  <c r="AX193" i="1"/>
  <c r="AX192" i="1"/>
  <c r="AX181" i="1"/>
  <c r="AX180" i="1"/>
  <c r="AX179" i="1"/>
  <c r="AX143" i="1"/>
  <c r="AX142" i="1"/>
  <c r="AX141" i="1"/>
  <c r="AX248" i="1"/>
  <c r="AX246" i="1"/>
  <c r="AJ13" i="14" s="1"/>
  <c r="AX245" i="1"/>
  <c r="AJ12" i="14" s="1"/>
  <c r="AX242" i="1"/>
  <c r="AJ9" i="14" s="1"/>
  <c r="AA248" i="1"/>
  <c r="AA235" i="1"/>
  <c r="AA233" i="1"/>
  <c r="AA228" i="1"/>
  <c r="AA232" i="1" s="1"/>
  <c r="AB219" i="1"/>
  <c r="AA219" i="1"/>
  <c r="AA213" i="1"/>
  <c r="AA218" i="1" s="1"/>
  <c r="AB194" i="1"/>
  <c r="AA194" i="1"/>
  <c r="AA188" i="1"/>
  <c r="AA192" i="1" s="1"/>
  <c r="AA181" i="1"/>
  <c r="AB181" i="1"/>
  <c r="AA175" i="1"/>
  <c r="AA180" i="1" s="1"/>
  <c r="AA143" i="1"/>
  <c r="AB143" i="1"/>
  <c r="AA137" i="1"/>
  <c r="AA142" i="1" s="1"/>
  <c r="AA126" i="1"/>
  <c r="AA123" i="1" s="1"/>
  <c r="AA114" i="1"/>
  <c r="AA113" i="1" s="1"/>
  <c r="AA245" i="1" s="1"/>
  <c r="M12" i="14" s="1"/>
  <c r="AA101" i="1"/>
  <c r="AA100" i="1" s="1"/>
  <c r="AA244" i="1" s="1"/>
  <c r="M11" i="14" s="1"/>
  <c r="AA98" i="1"/>
  <c r="AA97" i="1" s="1"/>
  <c r="AA243" i="1" s="1"/>
  <c r="M10" i="14" s="1"/>
  <c r="AA91" i="1"/>
  <c r="AA87" i="1"/>
  <c r="AA81" i="1"/>
  <c r="AA74" i="1"/>
  <c r="Q72" i="1"/>
  <c r="S72" i="1"/>
  <c r="U72" i="1"/>
  <c r="W72" i="1"/>
  <c r="Y72" i="1"/>
  <c r="AA72" i="1"/>
  <c r="AA70" i="1"/>
  <c r="AA69" i="1" s="1"/>
  <c r="AA57" i="1"/>
  <c r="AA40" i="1"/>
  <c r="AA38" i="1"/>
  <c r="AA20" i="1"/>
  <c r="AA12" i="1"/>
  <c r="BB245" i="1" l="1"/>
  <c r="BB130" i="1"/>
  <c r="AX16" i="1"/>
  <c r="AX12" i="1" s="1"/>
  <c r="AX243" i="1" s="1"/>
  <c r="AJ10" i="14" s="1"/>
  <c r="AA247" i="1"/>
  <c r="AX130" i="1"/>
  <c r="AA179" i="1"/>
  <c r="M19" i="14"/>
  <c r="AJ19" i="14" s="1"/>
  <c r="AX127" i="1"/>
  <c r="AX124" i="1" s="1"/>
  <c r="AX123" i="1" s="1"/>
  <c r="AX247" i="1" s="1"/>
  <c r="AJ18" i="14" s="1"/>
  <c r="AA231" i="1"/>
  <c r="AA246" i="1"/>
  <c r="M18" i="14" s="1"/>
  <c r="AA193" i="1"/>
  <c r="AX249" i="1"/>
  <c r="AX235" i="1"/>
  <c r="AA141" i="1"/>
  <c r="AX253" i="1"/>
  <c r="AA217" i="1"/>
  <c r="AA85" i="1"/>
  <c r="AA242" i="1" s="1"/>
  <c r="M9" i="14" s="1"/>
  <c r="AA68" i="1"/>
  <c r="AA241" i="1" s="1"/>
  <c r="M8" i="14" s="1"/>
  <c r="AA9" i="1"/>
  <c r="AA8" i="1" s="1"/>
  <c r="AV17" i="1"/>
  <c r="Z104" i="1"/>
  <c r="Y101" i="1"/>
  <c r="AN12" i="14" l="1"/>
  <c r="AN17" i="14" s="1"/>
  <c r="BB253" i="1"/>
  <c r="AB104" i="1"/>
  <c r="AD104" i="1" s="1"/>
  <c r="AF104" i="1" s="1"/>
  <c r="AH104" i="1" s="1"/>
  <c r="AA129" i="1"/>
  <c r="AA239" i="1"/>
  <c r="AJ22" i="14"/>
  <c r="BB256" i="1" l="1"/>
  <c r="AN25" i="14" s="1"/>
  <c r="AN22" i="14"/>
  <c r="M6" i="14"/>
  <c r="AA252" i="1"/>
  <c r="O87" i="2"/>
  <c r="J21" i="17"/>
  <c r="Y61" i="2"/>
  <c r="M21" i="14" l="1"/>
  <c r="Y17" i="1" l="1"/>
  <c r="Y16" i="1"/>
  <c r="Y22" i="1"/>
  <c r="O61" i="2"/>
  <c r="B16" i="66" l="1"/>
  <c r="D13" i="66"/>
  <c r="D16" i="66" s="1"/>
  <c r="B16" i="65"/>
  <c r="D13" i="65"/>
  <c r="D16" i="65" s="1"/>
  <c r="B16" i="64"/>
  <c r="D13" i="64"/>
  <c r="D16" i="64" s="1"/>
  <c r="B17" i="63"/>
  <c r="D14" i="63"/>
  <c r="D17" i="63" s="1"/>
  <c r="Y105" i="1" l="1"/>
  <c r="Z112" i="1"/>
  <c r="AB112" i="1" s="1"/>
  <c r="AD112" i="1" s="1"/>
  <c r="AF112" i="1" s="1"/>
  <c r="AH112" i="1" s="1"/>
  <c r="Y40" i="1" l="1"/>
  <c r="Z49" i="1"/>
  <c r="AB49" i="1" s="1"/>
  <c r="AD49" i="1" s="1"/>
  <c r="AF49" i="1" s="1"/>
  <c r="AH49" i="1" s="1"/>
  <c r="Z66" i="1" l="1"/>
  <c r="AB66" i="1" s="1"/>
  <c r="AD66" i="1" s="1"/>
  <c r="AF66" i="1" s="1"/>
  <c r="AH66" i="1" s="1"/>
  <c r="Z65" i="1" l="1"/>
  <c r="AB65" i="1" s="1"/>
  <c r="AD65" i="1" s="1"/>
  <c r="AF65" i="1" s="1"/>
  <c r="AH65" i="1" s="1"/>
  <c r="Y10" i="1"/>
  <c r="Z64" i="1" l="1"/>
  <c r="AB64" i="1" s="1"/>
  <c r="AD64" i="1" s="1"/>
  <c r="AF64" i="1" s="1"/>
  <c r="AH64" i="1" s="1"/>
  <c r="Z39" i="1"/>
  <c r="AB39" i="1" s="1"/>
  <c r="AB38" i="1" l="1"/>
  <c r="AD39" i="1"/>
  <c r="AV57" i="1"/>
  <c r="AV16" i="1"/>
  <c r="AV15" i="1"/>
  <c r="AV58" i="1"/>
  <c r="AV59" i="1"/>
  <c r="AV14" i="1"/>
  <c r="AN14" i="1"/>
  <c r="AP14" i="1"/>
  <c r="AR14" i="1"/>
  <c r="AT14" i="1"/>
  <c r="AV55" i="1"/>
  <c r="AV245" i="1" s="1"/>
  <c r="AH12" i="14" s="1"/>
  <c r="AV54" i="1"/>
  <c r="AV244" i="1" s="1"/>
  <c r="AH11" i="14" s="1"/>
  <c r="AI23" i="14"/>
  <c r="AH23" i="14"/>
  <c r="AV233" i="1"/>
  <c r="AV232" i="1"/>
  <c r="AV231" i="1"/>
  <c r="AV219" i="1"/>
  <c r="AV218" i="1"/>
  <c r="AV217" i="1"/>
  <c r="AV194" i="1"/>
  <c r="AV193" i="1"/>
  <c r="AV192" i="1"/>
  <c r="AV181" i="1"/>
  <c r="AV180" i="1"/>
  <c r="AV179" i="1"/>
  <c r="AV143" i="1"/>
  <c r="AV142" i="1"/>
  <c r="AV141" i="1"/>
  <c r="AV248" i="1"/>
  <c r="AV242" i="1"/>
  <c r="AH9" i="14" s="1"/>
  <c r="Y248" i="1"/>
  <c r="AV249" i="1" s="1"/>
  <c r="Y233" i="1"/>
  <c r="Y228" i="1"/>
  <c r="Y231" i="1" s="1"/>
  <c r="Y235" i="1"/>
  <c r="Z219" i="1"/>
  <c r="Y219" i="1"/>
  <c r="Y213" i="1"/>
  <c r="Y217" i="1" s="1"/>
  <c r="Z194" i="1"/>
  <c r="Y194" i="1"/>
  <c r="Y188" i="1"/>
  <c r="Y192" i="1" s="1"/>
  <c r="Z181" i="1"/>
  <c r="Y181" i="1"/>
  <c r="Y175" i="1"/>
  <c r="Y179" i="1" s="1"/>
  <c r="Y143" i="1"/>
  <c r="Z143" i="1"/>
  <c r="Y137" i="1"/>
  <c r="Y142" i="1" s="1"/>
  <c r="Y126" i="1"/>
  <c r="Y123" i="1" s="1"/>
  <c r="Y114" i="1"/>
  <c r="Y113" i="1" s="1"/>
  <c r="Y245" i="1" s="1"/>
  <c r="K12" i="14" s="1"/>
  <c r="Y100" i="1"/>
  <c r="Y244" i="1" s="1"/>
  <c r="K11" i="14" s="1"/>
  <c r="Y98" i="1"/>
  <c r="Y97" i="1" s="1"/>
  <c r="Y243" i="1" s="1"/>
  <c r="K10" i="14" s="1"/>
  <c r="Y91" i="1"/>
  <c r="Y87" i="1"/>
  <c r="Y81" i="1"/>
  <c r="Y74" i="1"/>
  <c r="Q70" i="1"/>
  <c r="S70" i="1"/>
  <c r="U70" i="1"/>
  <c r="W70" i="1"/>
  <c r="Y70" i="1"/>
  <c r="Y69" i="1" s="1"/>
  <c r="Y57" i="1"/>
  <c r="Y53" i="1" s="1"/>
  <c r="Y240" i="1" s="1"/>
  <c r="Y24" i="1"/>
  <c r="Y20" i="1"/>
  <c r="Y12" i="1"/>
  <c r="AD38" i="1" l="1"/>
  <c r="AF39" i="1"/>
  <c r="AV18" i="1"/>
  <c r="AV12" i="1" s="1"/>
  <c r="Y246" i="1"/>
  <c r="K18" i="14" s="1"/>
  <c r="Y253" i="1"/>
  <c r="K22" i="14" s="1"/>
  <c r="K7" i="14"/>
  <c r="Y141" i="1"/>
  <c r="Y130" i="1"/>
  <c r="Y180" i="1"/>
  <c r="Y232" i="1"/>
  <c r="AV127" i="1"/>
  <c r="AV124" i="1" s="1"/>
  <c r="AV123" i="1" s="1"/>
  <c r="AV247" i="1" s="1"/>
  <c r="AH18" i="14" s="1"/>
  <c r="Y193" i="1"/>
  <c r="Y218" i="1"/>
  <c r="Y247" i="1"/>
  <c r="AV235" i="1"/>
  <c r="K19" i="14"/>
  <c r="AH19" i="14" s="1"/>
  <c r="AV56" i="1"/>
  <c r="AV246" i="1" s="1"/>
  <c r="AH13" i="14" s="1"/>
  <c r="Y85" i="1"/>
  <c r="Y242" i="1" s="1"/>
  <c r="K9" i="14" s="1"/>
  <c r="Y68" i="1"/>
  <c r="Y241" i="1" s="1"/>
  <c r="K8" i="14" s="1"/>
  <c r="AT186" i="1"/>
  <c r="W183" i="1"/>
  <c r="AF38" i="1" l="1"/>
  <c r="AH39" i="1"/>
  <c r="AH38" i="1" s="1"/>
  <c r="AV130" i="1"/>
  <c r="AH17" i="14"/>
  <c r="AV253" i="1"/>
  <c r="AH22" i="14" s="1"/>
  <c r="AV243" i="1"/>
  <c r="AT17" i="1"/>
  <c r="W114" i="1"/>
  <c r="X121" i="1"/>
  <c r="Z121" i="1" s="1"/>
  <c r="AB121" i="1" s="1"/>
  <c r="AD121" i="1" s="1"/>
  <c r="AF121" i="1" s="1"/>
  <c r="X63" i="1"/>
  <c r="X48" i="1"/>
  <c r="Z48" i="1" s="1"/>
  <c r="AB48" i="1" s="1"/>
  <c r="AD48" i="1" s="1"/>
  <c r="AF48" i="1" s="1"/>
  <c r="AH48" i="1" s="1"/>
  <c r="W40" i="1"/>
  <c r="X34" i="1"/>
  <c r="Z34" i="1" s="1"/>
  <c r="AB34" i="1" s="1"/>
  <c r="AD34" i="1" s="1"/>
  <c r="AF34" i="1" s="1"/>
  <c r="AH34" i="1" s="1"/>
  <c r="X35" i="1"/>
  <c r="Z35" i="1" s="1"/>
  <c r="AB35" i="1" s="1"/>
  <c r="AD35" i="1" s="1"/>
  <c r="AF35" i="1" s="1"/>
  <c r="AH35" i="1" s="1"/>
  <c r="X36" i="1"/>
  <c r="Z36" i="1" s="1"/>
  <c r="AB36" i="1" s="1"/>
  <c r="AD36" i="1" s="1"/>
  <c r="AF36" i="1" s="1"/>
  <c r="AH36" i="1" s="1"/>
  <c r="W24" i="1"/>
  <c r="Z63" i="1" l="1"/>
  <c r="AB63" i="1" s="1"/>
  <c r="AD63" i="1" s="1"/>
  <c r="AF63" i="1" s="1"/>
  <c r="AH63" i="1" s="1"/>
  <c r="AV256" i="1"/>
  <c r="AH25" i="14" s="1"/>
  <c r="AH10" i="14"/>
  <c r="I20" i="17"/>
  <c r="H24" i="17"/>
  <c r="H23" i="17"/>
  <c r="H22" i="17"/>
  <c r="H16" i="17"/>
  <c r="J26" i="4" l="1"/>
  <c r="J27" i="4" s="1"/>
  <c r="X183" i="1" l="1"/>
  <c r="Z183" i="1" s="1"/>
  <c r="AB183" i="1" s="1"/>
  <c r="AD183" i="1" s="1"/>
  <c r="AF183" i="1" s="1"/>
  <c r="AH183" i="1" s="1"/>
  <c r="W20" i="1" l="1"/>
  <c r="AT16" i="1" l="1"/>
  <c r="AT59" i="1"/>
  <c r="Y85" i="2"/>
  <c r="Y86" i="2"/>
  <c r="O71" i="2"/>
  <c r="O85" i="2"/>
  <c r="O86" i="2"/>
  <c r="M72" i="2"/>
  <c r="M92" i="2" s="1"/>
  <c r="N72" i="2"/>
  <c r="N92" i="2" s="1"/>
  <c r="S72" i="2"/>
  <c r="S92" i="2" s="1"/>
  <c r="V72" i="2"/>
  <c r="V92" i="2" s="1"/>
  <c r="AT54" i="1"/>
  <c r="AT58" i="1"/>
  <c r="AT57" i="1"/>
  <c r="AT15" i="1"/>
  <c r="BF9" i="1" l="1"/>
  <c r="BH9" i="1" s="1"/>
  <c r="BD8" i="1"/>
  <c r="BD239" i="1" s="1"/>
  <c r="AP6" i="14" s="1"/>
  <c r="AT18" i="1"/>
  <c r="BH240" i="1" l="1"/>
  <c r="AT7" i="14" s="1"/>
  <c r="BH122" i="1"/>
  <c r="BH128" i="1" s="1"/>
  <c r="BH234" i="1" s="1"/>
  <c r="BH236" i="1" s="1"/>
  <c r="BH129" i="1"/>
  <c r="BF240" i="1"/>
  <c r="BF129" i="1"/>
  <c r="BF122" i="1"/>
  <c r="BF128" i="1" s="1"/>
  <c r="BF234" i="1" s="1"/>
  <c r="BF236" i="1" s="1"/>
  <c r="BB9" i="1"/>
  <c r="BB240" i="1" s="1"/>
  <c r="AN7" i="14" s="1"/>
  <c r="BD9" i="1"/>
  <c r="BD240" i="1" s="1"/>
  <c r="AP7" i="14" s="1"/>
  <c r="BB10" i="1"/>
  <c r="BB241" i="1" s="1"/>
  <c r="AN8" i="14" s="1"/>
  <c r="BD10" i="1"/>
  <c r="AZ10" i="1"/>
  <c r="AZ241" i="1" s="1"/>
  <c r="AL8" i="14" s="1"/>
  <c r="AZ8" i="1"/>
  <c r="AZ239" i="1" s="1"/>
  <c r="AL6" i="14" s="1"/>
  <c r="BB8" i="1"/>
  <c r="AX9" i="1"/>
  <c r="AX240" i="1" s="1"/>
  <c r="AJ7" i="14" s="1"/>
  <c r="AZ9" i="1"/>
  <c r="AZ240" i="1" s="1"/>
  <c r="AL7" i="14" s="1"/>
  <c r="AV10" i="1"/>
  <c r="AV241" i="1" s="1"/>
  <c r="AH8" i="14" s="1"/>
  <c r="AX10" i="1"/>
  <c r="AX241" i="1" s="1"/>
  <c r="AJ8" i="14" s="1"/>
  <c r="AV8" i="1"/>
  <c r="AV239" i="1" s="1"/>
  <c r="AH6" i="14" s="1"/>
  <c r="AX8" i="1"/>
  <c r="AT10" i="1"/>
  <c r="AT241" i="1" s="1"/>
  <c r="AF8" i="14" s="1"/>
  <c r="AT9" i="1"/>
  <c r="AT240" i="1" s="1"/>
  <c r="AF7" i="14" s="1"/>
  <c r="AV9" i="1"/>
  <c r="AV240" i="1" s="1"/>
  <c r="AH7" i="14" s="1"/>
  <c r="AT8" i="1"/>
  <c r="AT239" i="1" s="1"/>
  <c r="AF6" i="14" s="1"/>
  <c r="AG23" i="14"/>
  <c r="AF23" i="14"/>
  <c r="W248" i="1"/>
  <c r="I19" i="14" s="1"/>
  <c r="AF19" i="14" s="1"/>
  <c r="W235" i="1"/>
  <c r="W233" i="1"/>
  <c r="W228" i="1"/>
  <c r="W232" i="1" s="1"/>
  <c r="X219" i="1"/>
  <c r="W219" i="1"/>
  <c r="W213" i="1"/>
  <c r="W217" i="1" s="1"/>
  <c r="X194" i="1"/>
  <c r="W194" i="1"/>
  <c r="W188" i="1"/>
  <c r="W192" i="1" s="1"/>
  <c r="X181" i="1"/>
  <c r="W181" i="1"/>
  <c r="W175" i="1"/>
  <c r="W180" i="1" s="1"/>
  <c r="X143" i="1"/>
  <c r="W143" i="1"/>
  <c r="W137" i="1"/>
  <c r="W141" i="1" s="1"/>
  <c r="AT248" i="1"/>
  <c r="AT244" i="1"/>
  <c r="AF11" i="14" s="1"/>
  <c r="AT233" i="1"/>
  <c r="AT232" i="1"/>
  <c r="AT231" i="1"/>
  <c r="AT219" i="1"/>
  <c r="AT218" i="1"/>
  <c r="AT217" i="1"/>
  <c r="AU215" i="1"/>
  <c r="AU213" i="1"/>
  <c r="AT194" i="1"/>
  <c r="AT193" i="1"/>
  <c r="AT192" i="1"/>
  <c r="AU190" i="1"/>
  <c r="AU188" i="1"/>
  <c r="AT181" i="1"/>
  <c r="AT180" i="1"/>
  <c r="AT179" i="1"/>
  <c r="AU177" i="1"/>
  <c r="AU175" i="1"/>
  <c r="AT143" i="1"/>
  <c r="AT142" i="1"/>
  <c r="AT141" i="1"/>
  <c r="W126" i="1"/>
  <c r="W123" i="1" s="1"/>
  <c r="W113" i="1"/>
  <c r="W245" i="1" s="1"/>
  <c r="I12" i="14" s="1"/>
  <c r="W105" i="1"/>
  <c r="W101" i="1"/>
  <c r="W98" i="1"/>
  <c r="W97" i="1" s="1"/>
  <c r="W243" i="1" s="1"/>
  <c r="I10" i="14" s="1"/>
  <c r="Q91" i="1"/>
  <c r="S91" i="1"/>
  <c r="U91" i="1"/>
  <c r="W91" i="1"/>
  <c r="W87" i="1"/>
  <c r="W81" i="1"/>
  <c r="W74" i="1"/>
  <c r="W69" i="1"/>
  <c r="W57" i="1"/>
  <c r="W53" i="1" s="1"/>
  <c r="W12" i="1"/>
  <c r="Q40" i="1"/>
  <c r="S40" i="1"/>
  <c r="U40" i="1"/>
  <c r="X55" i="1"/>
  <c r="AT56" i="1"/>
  <c r="AT12" i="1"/>
  <c r="B17" i="17" l="1"/>
  <c r="AT14" i="14"/>
  <c r="AT16" i="14"/>
  <c r="BH252" i="1"/>
  <c r="BH250" i="1"/>
  <c r="BH254" i="1" s="1"/>
  <c r="AR7" i="14"/>
  <c r="BF252" i="1"/>
  <c r="AR21" i="14" s="1"/>
  <c r="BD21" i="72" s="1"/>
  <c r="BF250" i="1"/>
  <c r="BD241" i="1"/>
  <c r="BD122" i="1"/>
  <c r="BD128" i="1" s="1"/>
  <c r="BD234" i="1" s="1"/>
  <c r="BD236" i="1" s="1"/>
  <c r="BD129" i="1"/>
  <c r="Z55" i="1"/>
  <c r="X54" i="1"/>
  <c r="BB239" i="1"/>
  <c r="BB122" i="1"/>
  <c r="BB128" i="1" s="1"/>
  <c r="BB234" i="1" s="1"/>
  <c r="BB236" i="1" s="1"/>
  <c r="BB129" i="1"/>
  <c r="AZ129" i="1"/>
  <c r="AZ122" i="1"/>
  <c r="AZ128" i="1" s="1"/>
  <c r="AZ234" i="1" s="1"/>
  <c r="AZ236" i="1" s="1"/>
  <c r="AZ250" i="1"/>
  <c r="AZ254" i="1" s="1"/>
  <c r="AZ252" i="1"/>
  <c r="AA53" i="1"/>
  <c r="AX239" i="1"/>
  <c r="AX129" i="1"/>
  <c r="AX122" i="1"/>
  <c r="AX128" i="1" s="1"/>
  <c r="AX234" i="1" s="1"/>
  <c r="AX236" i="1" s="1"/>
  <c r="AV122" i="1"/>
  <c r="AV128" i="1" s="1"/>
  <c r="AV234" i="1" s="1"/>
  <c r="AV236" i="1" s="1"/>
  <c r="AV250" i="1"/>
  <c r="AV129" i="1"/>
  <c r="AV252" i="1"/>
  <c r="AH21" i="14" s="1"/>
  <c r="AH14" i="14"/>
  <c r="W85" i="1"/>
  <c r="W242" i="1" s="1"/>
  <c r="AT127" i="1"/>
  <c r="AT124" i="1" s="1"/>
  <c r="AT123" i="1" s="1"/>
  <c r="AT247" i="1" s="1"/>
  <c r="AF18" i="14" s="1"/>
  <c r="W231" i="1"/>
  <c r="W130" i="1"/>
  <c r="W240" i="1"/>
  <c r="W247" i="1"/>
  <c r="W179" i="1"/>
  <c r="AT246" i="1"/>
  <c r="AF13" i="14" s="1"/>
  <c r="AT243" i="1"/>
  <c r="W218" i="1"/>
  <c r="W246" i="1"/>
  <c r="I18" i="14" s="1"/>
  <c r="AT235" i="1"/>
  <c r="AT249" i="1"/>
  <c r="W142" i="1"/>
  <c r="W193" i="1"/>
  <c r="W100" i="1"/>
  <c r="W244" i="1" s="1"/>
  <c r="W68" i="1"/>
  <c r="W241" i="1" s="1"/>
  <c r="I8" i="14" s="1"/>
  <c r="W9" i="1"/>
  <c r="W8" i="1" s="1"/>
  <c r="W239" i="1" s="1"/>
  <c r="I6" i="14" s="1"/>
  <c r="AT20" i="14" l="1"/>
  <c r="AT26" i="14" s="1"/>
  <c r="AT27" i="14" s="1"/>
  <c r="AT15" i="14"/>
  <c r="BH255" i="1"/>
  <c r="AT24" i="14" s="1"/>
  <c r="AT21" i="14"/>
  <c r="AR14" i="14"/>
  <c r="AR20" i="14" s="1"/>
  <c r="AR26" i="14" s="1"/>
  <c r="BD7" i="72"/>
  <c r="AP8" i="14"/>
  <c r="BD252" i="1"/>
  <c r="BD250" i="1"/>
  <c r="BD254" i="1" s="1"/>
  <c r="AB55" i="1"/>
  <c r="Z54" i="1"/>
  <c r="BB252" i="1"/>
  <c r="BB250" i="1"/>
  <c r="BB254" i="1" s="1"/>
  <c r="AN6" i="14"/>
  <c r="AL21" i="14"/>
  <c r="AZ255" i="1"/>
  <c r="AL24" i="14" s="1"/>
  <c r="AL14" i="14"/>
  <c r="AL16" i="14"/>
  <c r="AA240" i="1"/>
  <c r="AA130" i="1"/>
  <c r="AA122" i="1"/>
  <c r="AA128" i="1" s="1"/>
  <c r="AA234" i="1" s="1"/>
  <c r="AA236" i="1" s="1"/>
  <c r="AJ6" i="14"/>
  <c r="AX252" i="1"/>
  <c r="AX250" i="1"/>
  <c r="AH20" i="14"/>
  <c r="AH26" i="14" s="1"/>
  <c r="W253" i="1"/>
  <c r="I22" i="14" s="1"/>
  <c r="I7" i="14"/>
  <c r="AF10" i="14"/>
  <c r="W252" i="1"/>
  <c r="I11" i="14"/>
  <c r="W122" i="1"/>
  <c r="W128" i="1" s="1"/>
  <c r="W234" i="1" s="1"/>
  <c r="W236" i="1" s="1"/>
  <c r="W250" i="1"/>
  <c r="W129" i="1"/>
  <c r="I9" i="14"/>
  <c r="AL86" i="2"/>
  <c r="AR17" i="1"/>
  <c r="U190" i="1"/>
  <c r="BD14" i="72" l="1"/>
  <c r="BD20" i="72" s="1"/>
  <c r="BD26" i="72" s="1"/>
  <c r="AP21" i="14"/>
  <c r="BD255" i="1"/>
  <c r="AP24" i="14" s="1"/>
  <c r="AP14" i="14"/>
  <c r="AP16" i="14"/>
  <c r="AD55" i="1"/>
  <c r="AB54" i="1"/>
  <c r="AN14" i="14"/>
  <c r="AN16" i="14"/>
  <c r="AN21" i="14"/>
  <c r="BB255" i="1"/>
  <c r="AN24" i="14" s="1"/>
  <c r="AL20" i="14"/>
  <c r="AL26" i="14" s="1"/>
  <c r="AL27" i="14" s="1"/>
  <c r="AL15" i="14"/>
  <c r="M7" i="14"/>
  <c r="AA253" i="1"/>
  <c r="AA250" i="1"/>
  <c r="AX254" i="1" s="1"/>
  <c r="AJ14" i="14"/>
  <c r="AJ16" i="14"/>
  <c r="AJ21" i="14"/>
  <c r="AX255" i="1"/>
  <c r="AJ24" i="14" s="1"/>
  <c r="I21" i="14"/>
  <c r="I14" i="14"/>
  <c r="G16" i="17"/>
  <c r="AP20" i="14" l="1"/>
  <c r="AP26" i="14" s="1"/>
  <c r="AP27" i="14" s="1"/>
  <c r="AP15" i="14"/>
  <c r="AD54" i="1"/>
  <c r="AF55" i="1"/>
  <c r="AN20" i="14"/>
  <c r="AN26" i="14" s="1"/>
  <c r="AN27" i="14" s="1"/>
  <c r="AN15" i="14"/>
  <c r="M22" i="14"/>
  <c r="AX256" i="1"/>
  <c r="AJ25" i="14" s="1"/>
  <c r="AJ17" i="14"/>
  <c r="M14" i="14"/>
  <c r="M20" i="14" s="1"/>
  <c r="M26" i="14" s="1"/>
  <c r="AJ20" i="14"/>
  <c r="AJ26" i="14" s="1"/>
  <c r="I20" i="14"/>
  <c r="I26" i="14" s="1"/>
  <c r="V132" i="1"/>
  <c r="X132" i="1" s="1"/>
  <c r="Z132" i="1" s="1"/>
  <c r="AB132" i="1" s="1"/>
  <c r="AD132" i="1" s="1"/>
  <c r="AF132" i="1" s="1"/>
  <c r="AH132" i="1" s="1"/>
  <c r="AH55" i="1" l="1"/>
  <c r="AH54" i="1" s="1"/>
  <c r="AF54" i="1"/>
  <c r="AJ27" i="14"/>
  <c r="AJ15" i="14"/>
  <c r="G20" i="17"/>
  <c r="AL85" i="2" l="1"/>
  <c r="V47" i="1"/>
  <c r="X47" i="1" s="1"/>
  <c r="Z47" i="1" s="1"/>
  <c r="AB47" i="1" s="1"/>
  <c r="AD47" i="1" s="1"/>
  <c r="AF47" i="1" s="1"/>
  <c r="AH47" i="1" s="1"/>
  <c r="U105" i="1" l="1"/>
  <c r="U248" i="1" l="1"/>
  <c r="AR249" i="1" s="1"/>
  <c r="AR127" i="1" l="1"/>
  <c r="U10" i="1"/>
  <c r="AR16" i="1" l="1"/>
  <c r="U114" i="1" l="1"/>
  <c r="V119" i="1"/>
  <c r="X119" i="1" s="1"/>
  <c r="Z119" i="1" s="1"/>
  <c r="AB119" i="1" s="1"/>
  <c r="AD119" i="1" s="1"/>
  <c r="AF119" i="1" s="1"/>
  <c r="AH119" i="1" s="1"/>
  <c r="V111" i="1"/>
  <c r="X111" i="1" s="1"/>
  <c r="Z111" i="1" s="1"/>
  <c r="AB111" i="1" s="1"/>
  <c r="AD111" i="1" s="1"/>
  <c r="AF111" i="1" s="1"/>
  <c r="AH111" i="1" s="1"/>
  <c r="U24" i="1" l="1"/>
  <c r="I51" i="4" l="1"/>
  <c r="K51" i="4" l="1"/>
  <c r="K52" i="4" s="1"/>
  <c r="I52" i="4"/>
  <c r="AR248" i="1"/>
  <c r="AR235" i="1"/>
  <c r="AR233" i="1"/>
  <c r="AR232" i="1"/>
  <c r="AR231" i="1"/>
  <c r="AR219" i="1"/>
  <c r="AR218" i="1"/>
  <c r="AR217" i="1"/>
  <c r="AR194" i="1"/>
  <c r="AR193" i="1"/>
  <c r="AR192" i="1"/>
  <c r="AR181" i="1"/>
  <c r="AR180" i="1"/>
  <c r="AR179" i="1"/>
  <c r="AR143" i="1"/>
  <c r="AR142" i="1"/>
  <c r="AR141" i="1"/>
  <c r="AR124" i="1"/>
  <c r="AR123" i="1" s="1"/>
  <c r="AR247" i="1" s="1"/>
  <c r="AD18" i="14" s="1"/>
  <c r="AS13" i="1"/>
  <c r="AU13" i="1" s="1"/>
  <c r="AW13" i="1" s="1"/>
  <c r="AY13" i="1" s="1"/>
  <c r="BA13" i="1" s="1"/>
  <c r="BC13" i="1" s="1"/>
  <c r="BE13" i="1" s="1"/>
  <c r="AE23" i="14"/>
  <c r="AD23" i="14"/>
  <c r="G19" i="14"/>
  <c r="AD19" i="14" s="1"/>
  <c r="AR58" i="1"/>
  <c r="AR57" i="1"/>
  <c r="AR59" i="1"/>
  <c r="AR15" i="1"/>
  <c r="K67" i="2"/>
  <c r="O67" i="2" s="1"/>
  <c r="K68" i="2"/>
  <c r="O68" i="2" s="1"/>
  <c r="K69" i="2"/>
  <c r="O69" i="2" s="1"/>
  <c r="K70" i="2"/>
  <c r="O70" i="2" s="1"/>
  <c r="K73" i="2"/>
  <c r="O73" i="2" s="1"/>
  <c r="K74" i="2"/>
  <c r="O74" i="2" s="1"/>
  <c r="K75" i="2"/>
  <c r="O75" i="2" s="1"/>
  <c r="K76" i="2"/>
  <c r="O76" i="2" s="1"/>
  <c r="K77" i="2"/>
  <c r="O77" i="2" s="1"/>
  <c r="K79" i="2"/>
  <c r="O79" i="2" s="1"/>
  <c r="K80" i="2"/>
  <c r="O80" i="2" s="1"/>
  <c r="K81" i="2"/>
  <c r="O81" i="2" s="1"/>
  <c r="K82" i="2"/>
  <c r="O82" i="2" s="1"/>
  <c r="K84" i="2"/>
  <c r="O84" i="2" s="1"/>
  <c r="K66" i="2"/>
  <c r="O66" i="2" s="1"/>
  <c r="AL65" i="2"/>
  <c r="AL66" i="2"/>
  <c r="AL67" i="2"/>
  <c r="AL68" i="2"/>
  <c r="AL69" i="2"/>
  <c r="AL70" i="2"/>
  <c r="AL71" i="2"/>
  <c r="AL73" i="2"/>
  <c r="AL74" i="2"/>
  <c r="AL75" i="2"/>
  <c r="AL76" i="2"/>
  <c r="AL77" i="2"/>
  <c r="AL79" i="2"/>
  <c r="AL80" i="2"/>
  <c r="AL81" i="2"/>
  <c r="AL82" i="2"/>
  <c r="AL84" i="2"/>
  <c r="AL64" i="2"/>
  <c r="AL51" i="2"/>
  <c r="AL52" i="2"/>
  <c r="AL53" i="2"/>
  <c r="AL54" i="2"/>
  <c r="AL55" i="2"/>
  <c r="AL56" i="2"/>
  <c r="AL57" i="2"/>
  <c r="AL58" i="2"/>
  <c r="AL59" i="2"/>
  <c r="AL60" i="2"/>
  <c r="AL61" i="2"/>
  <c r="AL62" i="2"/>
  <c r="AL63" i="2"/>
  <c r="AL50" i="2"/>
  <c r="J72" i="2"/>
  <c r="J92" i="2" s="1"/>
  <c r="AL46" i="2"/>
  <c r="AL47" i="2"/>
  <c r="AL48" i="2"/>
  <c r="AL45" i="2"/>
  <c r="AL36" i="2"/>
  <c r="AL37" i="2"/>
  <c r="AL38" i="2"/>
  <c r="AL39" i="2"/>
  <c r="AL40" i="2"/>
  <c r="AL41" i="2"/>
  <c r="AL42" i="2"/>
  <c r="AL43" i="2"/>
  <c r="AL35" i="2"/>
  <c r="AL31" i="2"/>
  <c r="AL32" i="2"/>
  <c r="AL33" i="2"/>
  <c r="AL30" i="2"/>
  <c r="AL9" i="2"/>
  <c r="AL10" i="2"/>
  <c r="AL11" i="2"/>
  <c r="AL12" i="2"/>
  <c r="AL13" i="2"/>
  <c r="AL14" i="2"/>
  <c r="AL15" i="2"/>
  <c r="AL16" i="2"/>
  <c r="AL18" i="2"/>
  <c r="AL19" i="2"/>
  <c r="AL20" i="2"/>
  <c r="AL21" i="2"/>
  <c r="AL22" i="2"/>
  <c r="AL23" i="2"/>
  <c r="AL24" i="2"/>
  <c r="AL25" i="2"/>
  <c r="AL26" i="2"/>
  <c r="AL27" i="2"/>
  <c r="AL28" i="2"/>
  <c r="AL7" i="2"/>
  <c r="U235" i="1"/>
  <c r="U233" i="1"/>
  <c r="U228" i="1"/>
  <c r="U231" i="1" s="1"/>
  <c r="V219" i="1"/>
  <c r="U219" i="1"/>
  <c r="U213" i="1"/>
  <c r="U218" i="1" s="1"/>
  <c r="V194" i="1"/>
  <c r="U194" i="1"/>
  <c r="U188" i="1"/>
  <c r="U192" i="1" s="1"/>
  <c r="V181" i="1"/>
  <c r="U181" i="1"/>
  <c r="U175" i="1"/>
  <c r="U180" i="1" s="1"/>
  <c r="U143" i="1"/>
  <c r="V143" i="1"/>
  <c r="U137" i="1"/>
  <c r="U142" i="1" s="1"/>
  <c r="U126" i="1"/>
  <c r="U247" i="1" s="1"/>
  <c r="U113" i="1"/>
  <c r="U245" i="1" s="1"/>
  <c r="G12" i="14" s="1"/>
  <c r="U101" i="1"/>
  <c r="U100" i="1" s="1"/>
  <c r="U244" i="1" s="1"/>
  <c r="G11" i="14" s="1"/>
  <c r="U98" i="1"/>
  <c r="U97" i="1" s="1"/>
  <c r="U243" i="1" s="1"/>
  <c r="G10" i="14" s="1"/>
  <c r="U87" i="1"/>
  <c r="U85" i="1" s="1"/>
  <c r="U242" i="1" s="1"/>
  <c r="G9" i="14" s="1"/>
  <c r="U81" i="1"/>
  <c r="U74" i="1"/>
  <c r="U69" i="1"/>
  <c r="U57" i="1"/>
  <c r="U53" i="1" s="1"/>
  <c r="U20" i="1"/>
  <c r="U12" i="1"/>
  <c r="AL49" i="2" l="1"/>
  <c r="AL44" i="2"/>
  <c r="AL34" i="2"/>
  <c r="AL29" i="2"/>
  <c r="AL72" i="2" s="1"/>
  <c r="AL92" i="2" s="1"/>
  <c r="AL6" i="2"/>
  <c r="AR8" i="1"/>
  <c r="AR239" i="1" s="1"/>
  <c r="M51" i="4"/>
  <c r="M52" i="4" s="1"/>
  <c r="AT55" i="1"/>
  <c r="AT245" i="1" s="1"/>
  <c r="U9" i="1"/>
  <c r="U8" i="1" s="1"/>
  <c r="U239" i="1" s="1"/>
  <c r="G6" i="14" s="1"/>
  <c r="AR9" i="1"/>
  <c r="AR240" i="1" s="1"/>
  <c r="AD7" i="14" s="1"/>
  <c r="AR10" i="1"/>
  <c r="AR241" i="1" s="1"/>
  <c r="AD8" i="14" s="1"/>
  <c r="U232" i="1"/>
  <c r="U130" i="1"/>
  <c r="U123" i="1"/>
  <c r="U246" i="1" s="1"/>
  <c r="G18" i="14" s="1"/>
  <c r="U240" i="1"/>
  <c r="G7" i="14" s="1"/>
  <c r="U193" i="1"/>
  <c r="U141" i="1"/>
  <c r="AS57" i="1"/>
  <c r="AU57" i="1" s="1"/>
  <c r="AW57" i="1" s="1"/>
  <c r="AY57" i="1" s="1"/>
  <c r="BA57" i="1" s="1"/>
  <c r="BC57" i="1" s="1"/>
  <c r="AR56" i="1"/>
  <c r="AR246" i="1" s="1"/>
  <c r="AD13" i="14" s="1"/>
  <c r="AR18" i="1"/>
  <c r="AR12" i="1" s="1"/>
  <c r="AR243" i="1" s="1"/>
  <c r="AD10" i="14" s="1"/>
  <c r="AR54" i="1"/>
  <c r="AR244" i="1" s="1"/>
  <c r="AR245" i="1"/>
  <c r="AD12" i="14" s="1"/>
  <c r="U217" i="1"/>
  <c r="U179" i="1"/>
  <c r="U68" i="1"/>
  <c r="U241" i="1" s="1"/>
  <c r="G8" i="14" s="1"/>
  <c r="F20" i="17"/>
  <c r="R258" i="1"/>
  <c r="T258" i="1" s="1"/>
  <c r="V258" i="1" s="1"/>
  <c r="X258" i="1" s="1"/>
  <c r="Z258" i="1" s="1"/>
  <c r="AB258" i="1" s="1"/>
  <c r="AD258" i="1" s="1"/>
  <c r="AF258" i="1" s="1"/>
  <c r="AH258" i="1" s="1"/>
  <c r="AJ14" i="2"/>
  <c r="AP17" i="1"/>
  <c r="F26" i="4"/>
  <c r="F27" i="4" s="1"/>
  <c r="O51" i="4" l="1"/>
  <c r="O52" i="4" s="1"/>
  <c r="AT130" i="1"/>
  <c r="AF12" i="14"/>
  <c r="AT253" i="1"/>
  <c r="U253" i="1"/>
  <c r="G22" i="14" s="1"/>
  <c r="U122" i="1"/>
  <c r="U128" i="1" s="1"/>
  <c r="U234" i="1" s="1"/>
  <c r="U236" i="1" s="1"/>
  <c r="G14" i="14"/>
  <c r="G20" i="14" s="1"/>
  <c r="G26" i="14" s="1"/>
  <c r="AR130" i="1"/>
  <c r="U252" i="1"/>
  <c r="G21" i="14" s="1"/>
  <c r="AR253" i="1"/>
  <c r="AD11" i="14"/>
  <c r="AD17" i="14" s="1"/>
  <c r="U250" i="1"/>
  <c r="U129" i="1"/>
  <c r="AD6" i="14"/>
  <c r="G26" i="4"/>
  <c r="I26" i="4" s="1"/>
  <c r="K26" i="4" s="1"/>
  <c r="M26" i="4" s="1"/>
  <c r="O26" i="4" s="1"/>
  <c r="Q26" i="4" s="1"/>
  <c r="S26" i="4" s="1"/>
  <c r="U26" i="4" s="1"/>
  <c r="Q51" i="4" l="1"/>
  <c r="Q52" i="4" s="1"/>
  <c r="AF22" i="14"/>
  <c r="AT256" i="1"/>
  <c r="AF25" i="14" s="1"/>
  <c r="AF17" i="14"/>
  <c r="AR256" i="1"/>
  <c r="AD25" i="14" s="1"/>
  <c r="AD22" i="14"/>
  <c r="S51" i="4" l="1"/>
  <c r="S52" i="4" s="1"/>
  <c r="U51" i="4" l="1"/>
  <c r="U52" i="4" s="1"/>
  <c r="F24" i="17"/>
  <c r="F16" i="17"/>
  <c r="T109" i="1" l="1"/>
  <c r="V109" i="1" s="1"/>
  <c r="X109" i="1" s="1"/>
  <c r="Z109" i="1" s="1"/>
  <c r="AB109" i="1" s="1"/>
  <c r="AD109" i="1" s="1"/>
  <c r="AF109" i="1" s="1"/>
  <c r="AH109" i="1" s="1"/>
  <c r="T110" i="1"/>
  <c r="S105" i="1"/>
  <c r="V110" i="1" l="1"/>
  <c r="X110" i="1" s="1"/>
  <c r="Z110" i="1" s="1"/>
  <c r="AB110" i="1" s="1"/>
  <c r="AD110" i="1" s="1"/>
  <c r="AF110" i="1" s="1"/>
  <c r="AH110" i="1" s="1"/>
  <c r="AQ139" i="1" l="1"/>
  <c r="AS139" i="1" s="1"/>
  <c r="AU139" i="1" s="1"/>
  <c r="AW139" i="1" s="1"/>
  <c r="AY139" i="1" s="1"/>
  <c r="BA139" i="1" s="1"/>
  <c r="BC139" i="1" s="1"/>
  <c r="BE139" i="1" s="1"/>
  <c r="AQ137" i="1"/>
  <c r="AS137" i="1" s="1"/>
  <c r="AU137" i="1" s="1"/>
  <c r="AW137" i="1" s="1"/>
  <c r="AY137" i="1" s="1"/>
  <c r="BA137" i="1" s="1"/>
  <c r="BC137" i="1" s="1"/>
  <c r="BE137" i="1" s="1"/>
  <c r="AQ228" i="1"/>
  <c r="AS228" i="1" s="1"/>
  <c r="AU228" i="1" s="1"/>
  <c r="AW228" i="1" s="1"/>
  <c r="AY228" i="1" s="1"/>
  <c r="AQ227" i="1"/>
  <c r="AS227" i="1" s="1"/>
  <c r="AU227" i="1" s="1"/>
  <c r="AW227" i="1" s="1"/>
  <c r="AY227" i="1" s="1"/>
  <c r="BA227" i="1" s="1"/>
  <c r="BC227" i="1" s="1"/>
  <c r="BE227" i="1" s="1"/>
  <c r="BA228" i="1" l="1"/>
  <c r="T51" i="1"/>
  <c r="V51" i="1" s="1"/>
  <c r="X51" i="1" s="1"/>
  <c r="Z51" i="1" s="1"/>
  <c r="AB51" i="1" s="1"/>
  <c r="AD51" i="1" s="1"/>
  <c r="AF51" i="1" s="1"/>
  <c r="AH51" i="1" s="1"/>
  <c r="BC228" i="1" l="1"/>
  <c r="BE228" i="1" l="1"/>
  <c r="AP16" i="1"/>
  <c r="T222" i="1"/>
  <c r="S233" i="1" l="1"/>
  <c r="S235" i="1"/>
  <c r="S228" i="1"/>
  <c r="S231" i="1" s="1"/>
  <c r="T229" i="1"/>
  <c r="V229" i="1" s="1"/>
  <c r="X229" i="1" s="1"/>
  <c r="Z229" i="1" s="1"/>
  <c r="AB229" i="1" s="1"/>
  <c r="AD229" i="1" s="1"/>
  <c r="AF229" i="1" s="1"/>
  <c r="T219" i="1"/>
  <c r="S219" i="1"/>
  <c r="T214" i="1"/>
  <c r="V214" i="1" s="1"/>
  <c r="X214" i="1" s="1"/>
  <c r="Z214" i="1" s="1"/>
  <c r="AB214" i="1" s="1"/>
  <c r="AD214" i="1" s="1"/>
  <c r="S213" i="1"/>
  <c r="S217" i="1" s="1"/>
  <c r="T194" i="1"/>
  <c r="S194" i="1"/>
  <c r="T189" i="1"/>
  <c r="V189" i="1" s="1"/>
  <c r="X189" i="1" s="1"/>
  <c r="Z189" i="1" s="1"/>
  <c r="AB189" i="1" s="1"/>
  <c r="AD189" i="1" s="1"/>
  <c r="S188" i="1"/>
  <c r="S192" i="1" s="1"/>
  <c r="T181" i="1"/>
  <c r="S181" i="1"/>
  <c r="T176" i="1"/>
  <c r="S175" i="1"/>
  <c r="S179" i="1" s="1"/>
  <c r="S143" i="1"/>
  <c r="T143" i="1"/>
  <c r="T138" i="1"/>
  <c r="V138" i="1" s="1"/>
  <c r="X138" i="1" s="1"/>
  <c r="Z138" i="1" s="1"/>
  <c r="AB138" i="1" s="1"/>
  <c r="AP233" i="1"/>
  <c r="AP232" i="1"/>
  <c r="AP231" i="1"/>
  <c r="AP219" i="1"/>
  <c r="AP218" i="1"/>
  <c r="AP217" i="1"/>
  <c r="AP194" i="1"/>
  <c r="AP193" i="1"/>
  <c r="AP192" i="1"/>
  <c r="AP181" i="1"/>
  <c r="AP180" i="1"/>
  <c r="AP179" i="1"/>
  <c r="AP141" i="1"/>
  <c r="AP142" i="1"/>
  <c r="AP143" i="1"/>
  <c r="AP248" i="1"/>
  <c r="S248" i="1"/>
  <c r="AP249" i="1" s="1"/>
  <c r="S12" i="1"/>
  <c r="S20" i="1"/>
  <c r="S24" i="1"/>
  <c r="S57" i="1"/>
  <c r="S53" i="1" s="1"/>
  <c r="S240" i="1" s="1"/>
  <c r="E7" i="14" s="1"/>
  <c r="Q69" i="1"/>
  <c r="S69" i="1"/>
  <c r="S74" i="1"/>
  <c r="S81" i="1"/>
  <c r="S87" i="1"/>
  <c r="S85" i="1" s="1"/>
  <c r="S242" i="1" s="1"/>
  <c r="S98" i="1"/>
  <c r="S97" i="1" s="1"/>
  <c r="S243" i="1" s="1"/>
  <c r="S101" i="1"/>
  <c r="S100" i="1" s="1"/>
  <c r="S244" i="1" s="1"/>
  <c r="E11" i="14" s="1"/>
  <c r="S114" i="1"/>
  <c r="S113" i="1" s="1"/>
  <c r="S126" i="1"/>
  <c r="S123" i="1" s="1"/>
  <c r="T21" i="1"/>
  <c r="V21" i="1" s="1"/>
  <c r="X21" i="1" s="1"/>
  <c r="Z21" i="1" s="1"/>
  <c r="AB21" i="1" s="1"/>
  <c r="AD21" i="1" s="1"/>
  <c r="AF21" i="1" s="1"/>
  <c r="AH21" i="1" s="1"/>
  <c r="AC23" i="14"/>
  <c r="AB23" i="14"/>
  <c r="AP55" i="1"/>
  <c r="AP245" i="1" s="1"/>
  <c r="AB12" i="14" s="1"/>
  <c r="AP58" i="1"/>
  <c r="AP59" i="1"/>
  <c r="AP15" i="1"/>
  <c r="G33" i="4"/>
  <c r="I33" i="4" s="1"/>
  <c r="K33" i="4" s="1"/>
  <c r="M33" i="4" s="1"/>
  <c r="O33" i="4" s="1"/>
  <c r="Q33" i="4" s="1"/>
  <c r="S33" i="4" s="1"/>
  <c r="U33" i="4" s="1"/>
  <c r="G34" i="4"/>
  <c r="I34" i="4" s="1"/>
  <c r="K34" i="4" s="1"/>
  <c r="M34" i="4" s="1"/>
  <c r="O34" i="4" s="1"/>
  <c r="Q34" i="4" s="1"/>
  <c r="S34" i="4" s="1"/>
  <c r="U34" i="4" s="1"/>
  <c r="AJ65" i="2"/>
  <c r="AJ66" i="2"/>
  <c r="AJ67" i="2"/>
  <c r="AJ68" i="2"/>
  <c r="AJ69" i="2"/>
  <c r="AJ70" i="2"/>
  <c r="AJ71" i="2"/>
  <c r="AJ73" i="2"/>
  <c r="AJ74" i="2"/>
  <c r="AJ75" i="2"/>
  <c r="AJ76" i="2"/>
  <c r="AJ77" i="2"/>
  <c r="AJ79" i="2"/>
  <c r="AJ80" i="2"/>
  <c r="AJ81" i="2"/>
  <c r="AJ82" i="2"/>
  <c r="AJ84" i="2"/>
  <c r="AJ64" i="2"/>
  <c r="AJ51" i="2"/>
  <c r="AJ52" i="2"/>
  <c r="AJ53" i="2"/>
  <c r="AJ54" i="2"/>
  <c r="AJ55" i="2"/>
  <c r="AJ56" i="2"/>
  <c r="AJ57" i="2"/>
  <c r="AJ58" i="2"/>
  <c r="AJ59" i="2"/>
  <c r="AJ60" i="2"/>
  <c r="AJ61" i="2"/>
  <c r="AJ62" i="2"/>
  <c r="AJ63" i="2"/>
  <c r="AJ50" i="2"/>
  <c r="E44" i="2"/>
  <c r="E72" i="2" s="1"/>
  <c r="E92" i="2" s="1"/>
  <c r="AJ46" i="2"/>
  <c r="AJ47" i="2"/>
  <c r="AJ48" i="2"/>
  <c r="AJ45" i="2"/>
  <c r="AJ36" i="2"/>
  <c r="AJ37" i="2"/>
  <c r="AJ38" i="2"/>
  <c r="AJ39" i="2"/>
  <c r="AJ40" i="2"/>
  <c r="AJ41" i="2"/>
  <c r="AJ42" i="2"/>
  <c r="AJ43" i="2"/>
  <c r="AH35" i="2"/>
  <c r="AJ35" i="2"/>
  <c r="AJ31" i="2"/>
  <c r="AJ32" i="2"/>
  <c r="AJ33" i="2"/>
  <c r="AJ30" i="2"/>
  <c r="AJ9" i="2"/>
  <c r="AJ10" i="2"/>
  <c r="AJ11" i="2"/>
  <c r="AJ12" i="2"/>
  <c r="AJ13" i="2"/>
  <c r="AJ15" i="2"/>
  <c r="AJ16" i="2"/>
  <c r="AJ18" i="2"/>
  <c r="AJ19" i="2"/>
  <c r="AJ20" i="2"/>
  <c r="AJ21" i="2"/>
  <c r="AJ22" i="2"/>
  <c r="AJ23" i="2"/>
  <c r="AJ24" i="2"/>
  <c r="AJ25" i="2"/>
  <c r="AJ26" i="2"/>
  <c r="AJ27" i="2"/>
  <c r="AJ28" i="2"/>
  <c r="AJ7" i="2"/>
  <c r="P69" i="2"/>
  <c r="T69" i="2" s="1"/>
  <c r="AM69" i="2" s="1"/>
  <c r="P70" i="2"/>
  <c r="T70" i="2" s="1"/>
  <c r="AM70" i="2" s="1"/>
  <c r="P71" i="2"/>
  <c r="T71" i="2" s="1"/>
  <c r="AM71" i="2" s="1"/>
  <c r="AJ6" i="2" l="1"/>
  <c r="AJ49" i="2"/>
  <c r="AJ44" i="2"/>
  <c r="AJ34" i="2"/>
  <c r="AJ29" i="2"/>
  <c r="AP8" i="1"/>
  <c r="AP239" i="1" s="1"/>
  <c r="AB6" i="14" s="1"/>
  <c r="Y71" i="2"/>
  <c r="Y70" i="2"/>
  <c r="Y69" i="2"/>
  <c r="AH229" i="1"/>
  <c r="AD138" i="1"/>
  <c r="AF189" i="1"/>
  <c r="AH189" i="1" s="1"/>
  <c r="AF214" i="1"/>
  <c r="AH214" i="1" s="1"/>
  <c r="V176" i="1"/>
  <c r="X176" i="1" s="1"/>
  <c r="Z176" i="1" s="1"/>
  <c r="AB176" i="1" s="1"/>
  <c r="AD176" i="1" s="1"/>
  <c r="S130" i="1"/>
  <c r="S245" i="1"/>
  <c r="E12" i="14" s="1"/>
  <c r="AP10" i="1"/>
  <c r="AP241" i="1" s="1"/>
  <c r="AB8" i="14" s="1"/>
  <c r="S68" i="1"/>
  <c r="S241" i="1" s="1"/>
  <c r="E8" i="14" s="1"/>
  <c r="S232" i="1"/>
  <c r="S218" i="1"/>
  <c r="S180" i="1"/>
  <c r="AP18" i="1"/>
  <c r="AP12" i="1" s="1"/>
  <c r="AP243" i="1" s="1"/>
  <c r="AB10" i="14" s="1"/>
  <c r="AP54" i="1"/>
  <c r="AP244" i="1" s="1"/>
  <c r="AB11" i="14" s="1"/>
  <c r="S9" i="1"/>
  <c r="E19" i="14"/>
  <c r="AB19" i="14" s="1"/>
  <c r="AP127" i="1"/>
  <c r="AP124" i="1" s="1"/>
  <c r="AP123" i="1" s="1"/>
  <c r="S193" i="1"/>
  <c r="E10" i="14"/>
  <c r="AP235" i="1"/>
  <c r="AP56" i="1"/>
  <c r="E9" i="14"/>
  <c r="AP9" i="1"/>
  <c r="AP240" i="1" s="1"/>
  <c r="AB7" i="14" s="1"/>
  <c r="Q101" i="1"/>
  <c r="R103" i="1"/>
  <c r="T103" i="1" s="1"/>
  <c r="V103" i="1" s="1"/>
  <c r="X103" i="1" s="1"/>
  <c r="Z103" i="1" s="1"/>
  <c r="AB103" i="1" s="1"/>
  <c r="AJ72" i="2" l="1"/>
  <c r="AJ92" i="2" s="1"/>
  <c r="AF138" i="1"/>
  <c r="AD103" i="1"/>
  <c r="AF103" i="1" s="1"/>
  <c r="AH103" i="1" s="1"/>
  <c r="AF176" i="1"/>
  <c r="S253" i="1"/>
  <c r="E22" i="14" s="1"/>
  <c r="S8" i="1"/>
  <c r="S122" i="1" s="1"/>
  <c r="S128" i="1" s="1"/>
  <c r="AP246" i="1"/>
  <c r="AB13" i="14" s="1"/>
  <c r="AP130" i="1"/>
  <c r="AP247" i="1"/>
  <c r="AB18" i="14" s="1"/>
  <c r="C15" i="15"/>
  <c r="D15" i="15"/>
  <c r="E15" i="15"/>
  <c r="F15" i="15"/>
  <c r="G15" i="15"/>
  <c r="AH176" i="1" l="1"/>
  <c r="AH138" i="1"/>
  <c r="S129" i="1"/>
  <c r="S239" i="1"/>
  <c r="E6" i="14" s="1"/>
  <c r="AP253" i="1"/>
  <c r="AP256" i="1" s="1"/>
  <c r="AB25" i="14" s="1"/>
  <c r="AB17" i="14"/>
  <c r="AN17" i="1"/>
  <c r="O6" i="17"/>
  <c r="R190" i="1"/>
  <c r="Q188" i="1"/>
  <c r="Q193" i="1" s="1"/>
  <c r="Q194" i="1"/>
  <c r="R194" i="1"/>
  <c r="L67" i="2"/>
  <c r="P67" i="2" s="1"/>
  <c r="T67" i="2" s="1"/>
  <c r="AM67" i="2" s="1"/>
  <c r="L68" i="2"/>
  <c r="P68" i="2" s="1"/>
  <c r="T68" i="2" s="1"/>
  <c r="AM68" i="2" s="1"/>
  <c r="D67" i="2"/>
  <c r="D68" i="2"/>
  <c r="AH68" i="2"/>
  <c r="Y68" i="2" l="1"/>
  <c r="Y67" i="2"/>
  <c r="Q192" i="1"/>
  <c r="R188" i="1"/>
  <c r="T190" i="1"/>
  <c r="E14" i="14"/>
  <c r="AB22" i="14"/>
  <c r="H8" i="15"/>
  <c r="H9" i="15"/>
  <c r="H10" i="15"/>
  <c r="H11" i="15"/>
  <c r="H12" i="15"/>
  <c r="H13" i="15"/>
  <c r="H14" i="15"/>
  <c r="H7" i="15"/>
  <c r="V190" i="1" l="1"/>
  <c r="T188" i="1"/>
  <c r="H15" i="15"/>
  <c r="D11" i="4"/>
  <c r="D27" i="4" s="1"/>
  <c r="V188" i="1" l="1"/>
  <c r="X190" i="1"/>
  <c r="Q22" i="1"/>
  <c r="Q16" i="1"/>
  <c r="X188" i="1" l="1"/>
  <c r="Z190" i="1"/>
  <c r="Z188" i="1" l="1"/>
  <c r="AB190" i="1"/>
  <c r="Q25" i="1"/>
  <c r="AB188" i="1" l="1"/>
  <c r="AD190" i="1"/>
  <c r="G11" i="4"/>
  <c r="I11" i="4" s="1"/>
  <c r="K11" i="4" s="1"/>
  <c r="M11" i="4" s="1"/>
  <c r="O11" i="4" s="1"/>
  <c r="Q11" i="4" s="1"/>
  <c r="S11" i="4" s="1"/>
  <c r="U11" i="4" s="1"/>
  <c r="P100" i="1"/>
  <c r="Q100" i="1"/>
  <c r="R102" i="1"/>
  <c r="C38" i="4"/>
  <c r="AN15" i="1"/>
  <c r="E37" i="4"/>
  <c r="E38" i="4" s="1"/>
  <c r="AN16" i="1"/>
  <c r="AF190" i="1" l="1"/>
  <c r="AD188" i="1"/>
  <c r="T102" i="1"/>
  <c r="R101" i="1"/>
  <c r="G37" i="4"/>
  <c r="G38" i="4" s="1"/>
  <c r="AO15" i="1"/>
  <c r="Q12" i="1"/>
  <c r="R17" i="1"/>
  <c r="T17" i="1" s="1"/>
  <c r="V17" i="1" s="1"/>
  <c r="X17" i="1" s="1"/>
  <c r="Z17" i="1" s="1"/>
  <c r="AB17" i="1" s="1"/>
  <c r="AD17" i="1" s="1"/>
  <c r="AF17" i="1" s="1"/>
  <c r="AH17" i="1" s="1"/>
  <c r="R18" i="1"/>
  <c r="T18" i="1" s="1"/>
  <c r="V18" i="1" s="1"/>
  <c r="X18" i="1" s="1"/>
  <c r="Z18" i="1" s="1"/>
  <c r="AB18" i="1" s="1"/>
  <c r="AD18" i="1" s="1"/>
  <c r="AF18" i="1" s="1"/>
  <c r="AH18" i="1" s="1"/>
  <c r="R19" i="1"/>
  <c r="T19" i="1" s="1"/>
  <c r="V19" i="1" s="1"/>
  <c r="X19" i="1" s="1"/>
  <c r="Z19" i="1" s="1"/>
  <c r="AB19" i="1" s="1"/>
  <c r="AD19" i="1" s="1"/>
  <c r="AF19" i="1" s="1"/>
  <c r="AH19" i="1" s="1"/>
  <c r="R16" i="1"/>
  <c r="T16" i="1" s="1"/>
  <c r="V16" i="1" s="1"/>
  <c r="X16" i="1" s="1"/>
  <c r="Z16" i="1" s="1"/>
  <c r="AB16" i="1" s="1"/>
  <c r="AD16" i="1" s="1"/>
  <c r="AF16" i="1" s="1"/>
  <c r="AH16" i="1" s="1"/>
  <c r="Q20" i="1"/>
  <c r="AF188" i="1" l="1"/>
  <c r="AH190" i="1"/>
  <c r="AH188" i="1" s="1"/>
  <c r="AQ15" i="1"/>
  <c r="AS15" i="1" s="1"/>
  <c r="AU15" i="1" s="1"/>
  <c r="AW15" i="1" s="1"/>
  <c r="AY15" i="1" s="1"/>
  <c r="BA15" i="1" s="1"/>
  <c r="BC15" i="1" s="1"/>
  <c r="I37" i="4"/>
  <c r="I38" i="4" s="1"/>
  <c r="T101" i="1"/>
  <c r="V102" i="1"/>
  <c r="Q24" i="1"/>
  <c r="K37" i="4" l="1"/>
  <c r="K38" i="4" s="1"/>
  <c r="V101" i="1"/>
  <c r="X102" i="1"/>
  <c r="AO229" i="1"/>
  <c r="AQ229" i="1" s="1"/>
  <c r="AN248" i="1"/>
  <c r="AN233" i="1"/>
  <c r="AN232" i="1"/>
  <c r="AN231" i="1"/>
  <c r="AO225" i="1"/>
  <c r="AQ225" i="1" s="1"/>
  <c r="AS225" i="1" s="1"/>
  <c r="AU225" i="1" s="1"/>
  <c r="AW225" i="1" s="1"/>
  <c r="AY225" i="1" s="1"/>
  <c r="BA225" i="1" s="1"/>
  <c r="BC225" i="1" s="1"/>
  <c r="BE225" i="1" s="1"/>
  <c r="AO224" i="1"/>
  <c r="AQ224" i="1" s="1"/>
  <c r="AS224" i="1" s="1"/>
  <c r="AU224" i="1" s="1"/>
  <c r="AW224" i="1" s="1"/>
  <c r="AY224" i="1" s="1"/>
  <c r="BA224" i="1" s="1"/>
  <c r="BC224" i="1" s="1"/>
  <c r="BE224" i="1" s="1"/>
  <c r="AO223" i="1"/>
  <c r="AQ223" i="1" s="1"/>
  <c r="AN219" i="1"/>
  <c r="AN218" i="1"/>
  <c r="AN217" i="1"/>
  <c r="AO214" i="1"/>
  <c r="AO211" i="1"/>
  <c r="AQ211" i="1" s="1"/>
  <c r="AS211" i="1" s="1"/>
  <c r="AU211" i="1" s="1"/>
  <c r="AW211" i="1" s="1"/>
  <c r="AY211" i="1" s="1"/>
  <c r="BA211" i="1" s="1"/>
  <c r="BC211" i="1" s="1"/>
  <c r="BE211" i="1" s="1"/>
  <c r="AO210" i="1"/>
  <c r="AQ210" i="1" s="1"/>
  <c r="AS210" i="1" s="1"/>
  <c r="AU210" i="1" s="1"/>
  <c r="AW210" i="1" s="1"/>
  <c r="AY210" i="1" s="1"/>
  <c r="AO209" i="1"/>
  <c r="AQ209" i="1" s="1"/>
  <c r="AN194" i="1"/>
  <c r="AN193" i="1"/>
  <c r="AN192" i="1"/>
  <c r="AO189" i="1"/>
  <c r="AO186" i="1"/>
  <c r="AQ186" i="1" s="1"/>
  <c r="AS186" i="1" s="1"/>
  <c r="AU186" i="1" s="1"/>
  <c r="AW186" i="1" s="1"/>
  <c r="AY186" i="1" s="1"/>
  <c r="BA186" i="1" s="1"/>
  <c r="BC186" i="1" s="1"/>
  <c r="BE186" i="1" s="1"/>
  <c r="AO185" i="1"/>
  <c r="AQ185" i="1" s="1"/>
  <c r="AS185" i="1" s="1"/>
  <c r="AU185" i="1" s="1"/>
  <c r="AW185" i="1" s="1"/>
  <c r="AY185" i="1" s="1"/>
  <c r="BA185" i="1" s="1"/>
  <c r="BC185" i="1" s="1"/>
  <c r="BE185" i="1" s="1"/>
  <c r="AO184" i="1"/>
  <c r="AQ184" i="1" s="1"/>
  <c r="AN181" i="1"/>
  <c r="AN180" i="1"/>
  <c r="AN179" i="1"/>
  <c r="AO176" i="1"/>
  <c r="AO173" i="1"/>
  <c r="AQ173" i="1" s="1"/>
  <c r="AS173" i="1" s="1"/>
  <c r="AU173" i="1" s="1"/>
  <c r="AW173" i="1" s="1"/>
  <c r="AY173" i="1" s="1"/>
  <c r="BA173" i="1" s="1"/>
  <c r="BC173" i="1" s="1"/>
  <c r="BE173" i="1" s="1"/>
  <c r="AO172" i="1"/>
  <c r="AQ172" i="1" s="1"/>
  <c r="AS172" i="1" s="1"/>
  <c r="AU172" i="1" s="1"/>
  <c r="AW172" i="1" s="1"/>
  <c r="AY172" i="1" s="1"/>
  <c r="AO171" i="1"/>
  <c r="AQ171" i="1" s="1"/>
  <c r="AN143" i="1"/>
  <c r="AN142" i="1"/>
  <c r="AN141" i="1"/>
  <c r="AO138" i="1"/>
  <c r="AO134" i="1"/>
  <c r="AQ134" i="1" s="1"/>
  <c r="AO135" i="1"/>
  <c r="AQ135" i="1" s="1"/>
  <c r="AS135" i="1" s="1"/>
  <c r="AU135" i="1" s="1"/>
  <c r="AW135" i="1" s="1"/>
  <c r="AY135" i="1" s="1"/>
  <c r="BA135" i="1" s="1"/>
  <c r="BC135" i="1" s="1"/>
  <c r="BE135" i="1" s="1"/>
  <c r="AO133" i="1"/>
  <c r="AQ133" i="1" s="1"/>
  <c r="Q248" i="1"/>
  <c r="C19" i="14" s="1"/>
  <c r="Z19" i="14" s="1"/>
  <c r="Q235" i="1"/>
  <c r="Q233" i="1"/>
  <c r="R230" i="1"/>
  <c r="Q228" i="1"/>
  <c r="Q232" i="1" s="1"/>
  <c r="R224" i="1"/>
  <c r="T224" i="1" s="1"/>
  <c r="R223" i="1"/>
  <c r="R219" i="1"/>
  <c r="Q219" i="1"/>
  <c r="R215" i="1"/>
  <c r="Q213" i="1"/>
  <c r="Q218" i="1" s="1"/>
  <c r="R209" i="1"/>
  <c r="T209" i="1" s="1"/>
  <c r="R184" i="1"/>
  <c r="T184" i="1" s="1"/>
  <c r="R181" i="1"/>
  <c r="Q181" i="1"/>
  <c r="R177" i="1"/>
  <c r="Q175" i="1"/>
  <c r="Q179" i="1" s="1"/>
  <c r="R171" i="1"/>
  <c r="T171" i="1" s="1"/>
  <c r="Q143" i="1"/>
  <c r="R143" i="1"/>
  <c r="R139" i="1"/>
  <c r="T139" i="1" s="1"/>
  <c r="Q137" i="1"/>
  <c r="Q141" i="1" s="1"/>
  <c r="R133" i="1"/>
  <c r="T133" i="1" s="1"/>
  <c r="V133" i="1" s="1"/>
  <c r="X133" i="1" s="1"/>
  <c r="Z133" i="1" s="1"/>
  <c r="AB133" i="1" s="1"/>
  <c r="AH65" i="2"/>
  <c r="AH66" i="2"/>
  <c r="AH67" i="2"/>
  <c r="AH69" i="2"/>
  <c r="AH70" i="2"/>
  <c r="AH71" i="2"/>
  <c r="AH73" i="2"/>
  <c r="AH74" i="2"/>
  <c r="AH75" i="2"/>
  <c r="AH76" i="2"/>
  <c r="AH77" i="2"/>
  <c r="AH79" i="2"/>
  <c r="AH80" i="2"/>
  <c r="AH81" i="2"/>
  <c r="AH82" i="2"/>
  <c r="AH84" i="2"/>
  <c r="AH64" i="2"/>
  <c r="L73" i="2"/>
  <c r="P73" i="2" s="1"/>
  <c r="T73" i="2" s="1"/>
  <c r="AM73" i="2" s="1"/>
  <c r="L74" i="2"/>
  <c r="P74" i="2" s="1"/>
  <c r="T74" i="2" s="1"/>
  <c r="AM74" i="2" s="1"/>
  <c r="L75" i="2"/>
  <c r="P75" i="2" s="1"/>
  <c r="T75" i="2" s="1"/>
  <c r="AM75" i="2" s="1"/>
  <c r="L76" i="2"/>
  <c r="P76" i="2" s="1"/>
  <c r="T76" i="2" s="1"/>
  <c r="AM76" i="2" s="1"/>
  <c r="L77" i="2"/>
  <c r="P77" i="2" s="1"/>
  <c r="T77" i="2" s="1"/>
  <c r="AM77" i="2" s="1"/>
  <c r="L79" i="2"/>
  <c r="P79" i="2" s="1"/>
  <c r="T79" i="2" s="1"/>
  <c r="AM79" i="2" s="1"/>
  <c r="L80" i="2"/>
  <c r="P80" i="2" s="1"/>
  <c r="T80" i="2" s="1"/>
  <c r="AM80" i="2" s="1"/>
  <c r="L81" i="2"/>
  <c r="P81" i="2" s="1"/>
  <c r="T81" i="2" s="1"/>
  <c r="AM81" i="2" s="1"/>
  <c r="L82" i="2"/>
  <c r="P82" i="2" s="1"/>
  <c r="T82" i="2" s="1"/>
  <c r="AM82" i="2" s="1"/>
  <c r="L84" i="2"/>
  <c r="P84" i="2" s="1"/>
  <c r="T84" i="2" s="1"/>
  <c r="AM84" i="2" s="1"/>
  <c r="D73" i="2"/>
  <c r="D74" i="2"/>
  <c r="D75" i="2"/>
  <c r="D76" i="2"/>
  <c r="D77" i="2"/>
  <c r="D79" i="2"/>
  <c r="D80" i="2"/>
  <c r="D81" i="2"/>
  <c r="D82" i="2"/>
  <c r="D84" i="2"/>
  <c r="D71" i="2"/>
  <c r="U65" i="2"/>
  <c r="Z65" i="2" s="1"/>
  <c r="U66" i="2"/>
  <c r="Z66" i="2" s="1"/>
  <c r="U67" i="2"/>
  <c r="Z67" i="2" s="1"/>
  <c r="U71" i="2"/>
  <c r="U73" i="2"/>
  <c r="Z73" i="2" s="1"/>
  <c r="AB73" i="2" s="1"/>
  <c r="U74" i="2"/>
  <c r="Z74" i="2" s="1"/>
  <c r="AB74" i="2" s="1"/>
  <c r="U75" i="2"/>
  <c r="Z75" i="2" s="1"/>
  <c r="U76" i="2"/>
  <c r="Z76" i="2" s="1"/>
  <c r="AB76" i="2" s="1"/>
  <c r="U77" i="2"/>
  <c r="Z77" i="2" s="1"/>
  <c r="AB77" i="2" s="1"/>
  <c r="U79" i="2"/>
  <c r="Z79" i="2" s="1"/>
  <c r="AB79" i="2" s="1"/>
  <c r="U80" i="2"/>
  <c r="Z80" i="2" s="1"/>
  <c r="U81" i="2"/>
  <c r="Z81" i="2" s="1"/>
  <c r="AB81" i="2" s="1"/>
  <c r="U82" i="2"/>
  <c r="Z82" i="2" s="1"/>
  <c r="AB82" i="2" s="1"/>
  <c r="U84" i="2"/>
  <c r="Z84" i="2" s="1"/>
  <c r="AB84" i="2" s="1"/>
  <c r="U64" i="2"/>
  <c r="L66" i="2"/>
  <c r="P66" i="2" s="1"/>
  <c r="T66" i="2" s="1"/>
  <c r="AM66" i="2" s="1"/>
  <c r="D66" i="2"/>
  <c r="AH51" i="2"/>
  <c r="AH52" i="2"/>
  <c r="AH53" i="2"/>
  <c r="AH54" i="2"/>
  <c r="AH55" i="2"/>
  <c r="AH56" i="2"/>
  <c r="AH57" i="2"/>
  <c r="AH58" i="2"/>
  <c r="AH59" i="2"/>
  <c r="AH60" i="2"/>
  <c r="AH61" i="2"/>
  <c r="AH62" i="2"/>
  <c r="AH63" i="2"/>
  <c r="AH50" i="2"/>
  <c r="U51" i="2"/>
  <c r="U52" i="2"/>
  <c r="U53" i="2"/>
  <c r="U54" i="2"/>
  <c r="U55" i="2"/>
  <c r="Z55" i="2" s="1"/>
  <c r="U56" i="2"/>
  <c r="U58" i="2"/>
  <c r="U59" i="2"/>
  <c r="U60" i="2"/>
  <c r="U61" i="2"/>
  <c r="U62" i="2"/>
  <c r="U63" i="2"/>
  <c r="U50" i="2"/>
  <c r="L55" i="2"/>
  <c r="L49" i="2" s="1"/>
  <c r="D55" i="2"/>
  <c r="C44" i="2"/>
  <c r="D44" i="2"/>
  <c r="AH48" i="2"/>
  <c r="AH47" i="2"/>
  <c r="AH46" i="2"/>
  <c r="AH45" i="2"/>
  <c r="AH44" i="2" s="1"/>
  <c r="AH36" i="2"/>
  <c r="AH37" i="2"/>
  <c r="AH38" i="2"/>
  <c r="AH39" i="2"/>
  <c r="AH40" i="2"/>
  <c r="AH41" i="2"/>
  <c r="AH42" i="2"/>
  <c r="AH43" i="2"/>
  <c r="U37" i="2"/>
  <c r="Z37" i="2" s="1"/>
  <c r="U38" i="2"/>
  <c r="Z38" i="2" s="1"/>
  <c r="U39" i="2"/>
  <c r="Z39" i="2" s="1"/>
  <c r="U40" i="2"/>
  <c r="Z40" i="2" s="1"/>
  <c r="U41" i="2"/>
  <c r="Z41" i="2" s="1"/>
  <c r="U42" i="2"/>
  <c r="Z42" i="2" s="1"/>
  <c r="U43" i="2"/>
  <c r="Z43" i="2" s="1"/>
  <c r="U35" i="2"/>
  <c r="L42" i="2"/>
  <c r="L34" i="2" s="1"/>
  <c r="C33" i="2"/>
  <c r="C32" i="2"/>
  <c r="C31" i="2"/>
  <c r="R32" i="2"/>
  <c r="R31" i="2"/>
  <c r="I33" i="2"/>
  <c r="I32" i="2"/>
  <c r="I31" i="2"/>
  <c r="AO126" i="1"/>
  <c r="AQ126" i="1" s="1"/>
  <c r="Q126" i="1"/>
  <c r="Q123" i="1" s="1"/>
  <c r="Q114" i="1"/>
  <c r="Q113" i="1" s="1"/>
  <c r="Q245" i="1" s="1"/>
  <c r="C12" i="14" s="1"/>
  <c r="Q98" i="1"/>
  <c r="Q97" i="1" s="1"/>
  <c r="Q87" i="1"/>
  <c r="Q81" i="1"/>
  <c r="Q74" i="1"/>
  <c r="Q57" i="1"/>
  <c r="Q33" i="1"/>
  <c r="Q9" i="1"/>
  <c r="Q8" i="1" s="1"/>
  <c r="R11" i="1"/>
  <c r="T11" i="1" s="1"/>
  <c r="V11" i="1" s="1"/>
  <c r="X11" i="1" s="1"/>
  <c r="Z11" i="1" s="1"/>
  <c r="AB11" i="1" s="1"/>
  <c r="AD11" i="1" s="1"/>
  <c r="AF11" i="1" s="1"/>
  <c r="AH11" i="1" s="1"/>
  <c r="R13" i="1"/>
  <c r="T13" i="1" s="1"/>
  <c r="R14" i="1"/>
  <c r="T14" i="1" s="1"/>
  <c r="V14" i="1" s="1"/>
  <c r="X14" i="1" s="1"/>
  <c r="Z14" i="1" s="1"/>
  <c r="AB14" i="1" s="1"/>
  <c r="AD14" i="1" s="1"/>
  <c r="AF14" i="1" s="1"/>
  <c r="AH14" i="1" s="1"/>
  <c r="R15" i="1"/>
  <c r="T15" i="1" s="1"/>
  <c r="V15" i="1" s="1"/>
  <c r="X15" i="1" s="1"/>
  <c r="Z15" i="1" s="1"/>
  <c r="AB15" i="1" s="1"/>
  <c r="AD15" i="1" s="1"/>
  <c r="AF15" i="1" s="1"/>
  <c r="AH15" i="1" s="1"/>
  <c r="R22" i="1"/>
  <c r="T22" i="1" s="1"/>
  <c r="R23" i="1"/>
  <c r="T23" i="1" s="1"/>
  <c r="V23" i="1" s="1"/>
  <c r="X23" i="1" s="1"/>
  <c r="Z23" i="1" s="1"/>
  <c r="AB23" i="1" s="1"/>
  <c r="AD23" i="1" s="1"/>
  <c r="AF23" i="1" s="1"/>
  <c r="AH23" i="1" s="1"/>
  <c r="R25" i="1"/>
  <c r="R26" i="1"/>
  <c r="T26" i="1" s="1"/>
  <c r="V26" i="1" s="1"/>
  <c r="X26" i="1" s="1"/>
  <c r="Z26" i="1" s="1"/>
  <c r="AB26" i="1" s="1"/>
  <c r="AD26" i="1" s="1"/>
  <c r="AF26" i="1" s="1"/>
  <c r="AH26" i="1" s="1"/>
  <c r="R27" i="1"/>
  <c r="T27" i="1" s="1"/>
  <c r="V27" i="1" s="1"/>
  <c r="X27" i="1" s="1"/>
  <c r="Z27" i="1" s="1"/>
  <c r="AB27" i="1" s="1"/>
  <c r="AD27" i="1" s="1"/>
  <c r="AF27" i="1" s="1"/>
  <c r="AH27" i="1" s="1"/>
  <c r="R28" i="1"/>
  <c r="T28" i="1" s="1"/>
  <c r="V28" i="1" s="1"/>
  <c r="X28" i="1" s="1"/>
  <c r="Z28" i="1" s="1"/>
  <c r="AB28" i="1" s="1"/>
  <c r="AD28" i="1" s="1"/>
  <c r="AF28" i="1" s="1"/>
  <c r="AH28" i="1" s="1"/>
  <c r="R29" i="1"/>
  <c r="T29" i="1" s="1"/>
  <c r="V29" i="1" s="1"/>
  <c r="X29" i="1" s="1"/>
  <c r="Z29" i="1" s="1"/>
  <c r="AB29" i="1" s="1"/>
  <c r="AD29" i="1" s="1"/>
  <c r="AF29" i="1" s="1"/>
  <c r="AH29" i="1" s="1"/>
  <c r="R30" i="1"/>
  <c r="T30" i="1" s="1"/>
  <c r="V30" i="1" s="1"/>
  <c r="X30" i="1" s="1"/>
  <c r="Z30" i="1" s="1"/>
  <c r="AB30" i="1" s="1"/>
  <c r="AD30" i="1" s="1"/>
  <c r="AF30" i="1" s="1"/>
  <c r="AH30" i="1" s="1"/>
  <c r="R31" i="1"/>
  <c r="T31" i="1" s="1"/>
  <c r="V31" i="1" s="1"/>
  <c r="X31" i="1" s="1"/>
  <c r="Z31" i="1" s="1"/>
  <c r="AB31" i="1" s="1"/>
  <c r="AD31" i="1" s="1"/>
  <c r="AF31" i="1" s="1"/>
  <c r="AH31" i="1" s="1"/>
  <c r="R32" i="1"/>
  <c r="T32" i="1" s="1"/>
  <c r="V32" i="1" s="1"/>
  <c r="X32" i="1" s="1"/>
  <c r="Z32" i="1" s="1"/>
  <c r="AB32" i="1" s="1"/>
  <c r="AD32" i="1" s="1"/>
  <c r="AF32" i="1" s="1"/>
  <c r="AH32" i="1" s="1"/>
  <c r="R41" i="1"/>
  <c r="R42" i="1"/>
  <c r="T42" i="1" s="1"/>
  <c r="V42" i="1" s="1"/>
  <c r="X42" i="1" s="1"/>
  <c r="Z42" i="1" s="1"/>
  <c r="AB42" i="1" s="1"/>
  <c r="AD42" i="1" s="1"/>
  <c r="AF42" i="1" s="1"/>
  <c r="AH42" i="1" s="1"/>
  <c r="R43" i="1"/>
  <c r="T43" i="1" s="1"/>
  <c r="V43" i="1" s="1"/>
  <c r="X43" i="1" s="1"/>
  <c r="Z43" i="1" s="1"/>
  <c r="AB43" i="1" s="1"/>
  <c r="AD43" i="1" s="1"/>
  <c r="AF43" i="1" s="1"/>
  <c r="AH43" i="1" s="1"/>
  <c r="R44" i="1"/>
  <c r="T44" i="1" s="1"/>
  <c r="V44" i="1" s="1"/>
  <c r="X44" i="1" s="1"/>
  <c r="Z44" i="1" s="1"/>
  <c r="AB44" i="1" s="1"/>
  <c r="AD44" i="1" s="1"/>
  <c r="AF44" i="1" s="1"/>
  <c r="AH44" i="1" s="1"/>
  <c r="R45" i="1"/>
  <c r="T45" i="1" s="1"/>
  <c r="V45" i="1" s="1"/>
  <c r="X45" i="1" s="1"/>
  <c r="Z45" i="1" s="1"/>
  <c r="AB45" i="1" s="1"/>
  <c r="AD45" i="1" s="1"/>
  <c r="AF45" i="1" s="1"/>
  <c r="AH45" i="1" s="1"/>
  <c r="R46" i="1"/>
  <c r="T46" i="1" s="1"/>
  <c r="V46" i="1" s="1"/>
  <c r="X46" i="1" s="1"/>
  <c r="Z46" i="1" s="1"/>
  <c r="AB46" i="1" s="1"/>
  <c r="AD46" i="1" s="1"/>
  <c r="AF46" i="1" s="1"/>
  <c r="AH46" i="1" s="1"/>
  <c r="R50" i="1"/>
  <c r="T50" i="1" s="1"/>
  <c r="V50" i="1" s="1"/>
  <c r="X50" i="1" s="1"/>
  <c r="Z50" i="1" s="1"/>
  <c r="AB50" i="1" s="1"/>
  <c r="AD50" i="1" s="1"/>
  <c r="AF50" i="1" s="1"/>
  <c r="AH50" i="1" s="1"/>
  <c r="R55" i="1"/>
  <c r="R54" i="1" s="1"/>
  <c r="R59" i="1"/>
  <c r="R60" i="1"/>
  <c r="T60" i="1" s="1"/>
  <c r="V60" i="1" s="1"/>
  <c r="X60" i="1" s="1"/>
  <c r="Z60" i="1" s="1"/>
  <c r="AB60" i="1" s="1"/>
  <c r="AD60" i="1" s="1"/>
  <c r="AF60" i="1" s="1"/>
  <c r="AH60" i="1" s="1"/>
  <c r="R61" i="1"/>
  <c r="T61" i="1" s="1"/>
  <c r="V61" i="1" s="1"/>
  <c r="X61" i="1" s="1"/>
  <c r="Z61" i="1" s="1"/>
  <c r="AB61" i="1" s="1"/>
  <c r="AD61" i="1" s="1"/>
  <c r="AF61" i="1" s="1"/>
  <c r="AH61" i="1" s="1"/>
  <c r="R62" i="1"/>
  <c r="T62" i="1" s="1"/>
  <c r="V62" i="1" s="1"/>
  <c r="X62" i="1" s="1"/>
  <c r="Z62" i="1" s="1"/>
  <c r="AB62" i="1" s="1"/>
  <c r="AD62" i="1" s="1"/>
  <c r="AF62" i="1" s="1"/>
  <c r="AH62" i="1" s="1"/>
  <c r="R71" i="1"/>
  <c r="R70" i="1" s="1"/>
  <c r="R73" i="1"/>
  <c r="R72" i="1" s="1"/>
  <c r="R76" i="1"/>
  <c r="R77" i="1"/>
  <c r="R78" i="1"/>
  <c r="T78" i="1" s="1"/>
  <c r="V78" i="1" s="1"/>
  <c r="X78" i="1" s="1"/>
  <c r="Z78" i="1" s="1"/>
  <c r="AB78" i="1" s="1"/>
  <c r="AD78" i="1" s="1"/>
  <c r="AF78" i="1" s="1"/>
  <c r="AH78" i="1" s="1"/>
  <c r="R80" i="1"/>
  <c r="R84" i="1"/>
  <c r="T84" i="1" s="1"/>
  <c r="V84" i="1" s="1"/>
  <c r="X84" i="1" s="1"/>
  <c r="Z84" i="1" s="1"/>
  <c r="AB84" i="1" s="1"/>
  <c r="AD84" i="1" s="1"/>
  <c r="AF84" i="1" s="1"/>
  <c r="AH84" i="1" s="1"/>
  <c r="R86" i="1"/>
  <c r="T86" i="1" s="1"/>
  <c r="V86" i="1" s="1"/>
  <c r="X86" i="1" s="1"/>
  <c r="Z86" i="1" s="1"/>
  <c r="AB86" i="1" s="1"/>
  <c r="AD86" i="1" s="1"/>
  <c r="AF86" i="1" s="1"/>
  <c r="AH86" i="1" s="1"/>
  <c r="R89" i="1"/>
  <c r="T89" i="1" s="1"/>
  <c r="V89" i="1" s="1"/>
  <c r="X89" i="1" s="1"/>
  <c r="Z89" i="1" s="1"/>
  <c r="AB89" i="1" s="1"/>
  <c r="AD89" i="1" s="1"/>
  <c r="AF89" i="1" s="1"/>
  <c r="AH89" i="1" s="1"/>
  <c r="R93" i="1"/>
  <c r="T93" i="1" s="1"/>
  <c r="V93" i="1" s="1"/>
  <c r="X93" i="1" s="1"/>
  <c r="Z93" i="1" s="1"/>
  <c r="AB93" i="1" s="1"/>
  <c r="AD93" i="1" s="1"/>
  <c r="AF93" i="1" s="1"/>
  <c r="AH93" i="1" s="1"/>
  <c r="R96" i="1"/>
  <c r="T96" i="1" s="1"/>
  <c r="V96" i="1" s="1"/>
  <c r="X96" i="1" s="1"/>
  <c r="Z96" i="1" s="1"/>
  <c r="AB96" i="1" s="1"/>
  <c r="AD96" i="1" s="1"/>
  <c r="AF96" i="1" s="1"/>
  <c r="AH96" i="1" s="1"/>
  <c r="R99" i="1"/>
  <c r="R106" i="1"/>
  <c r="R107" i="1"/>
  <c r="T107" i="1" s="1"/>
  <c r="V107" i="1" s="1"/>
  <c r="X107" i="1" s="1"/>
  <c r="Z107" i="1" s="1"/>
  <c r="AB107" i="1" s="1"/>
  <c r="AD107" i="1" s="1"/>
  <c r="AF107" i="1" s="1"/>
  <c r="AH107" i="1" s="1"/>
  <c r="R108" i="1"/>
  <c r="T108" i="1" s="1"/>
  <c r="V108" i="1" s="1"/>
  <c r="X108" i="1" s="1"/>
  <c r="Z108" i="1" s="1"/>
  <c r="AB108" i="1" s="1"/>
  <c r="AD108" i="1" s="1"/>
  <c r="AF108" i="1" s="1"/>
  <c r="AH108" i="1" s="1"/>
  <c r="R115" i="1"/>
  <c r="T115" i="1" s="1"/>
  <c r="R116" i="1"/>
  <c r="T116" i="1" s="1"/>
  <c r="V116" i="1" s="1"/>
  <c r="X116" i="1" s="1"/>
  <c r="Z116" i="1" s="1"/>
  <c r="AB116" i="1" s="1"/>
  <c r="AD116" i="1" s="1"/>
  <c r="AF116" i="1" s="1"/>
  <c r="AH116" i="1" s="1"/>
  <c r="R117" i="1"/>
  <c r="T117" i="1" s="1"/>
  <c r="V117" i="1" s="1"/>
  <c r="X117" i="1" s="1"/>
  <c r="Z117" i="1" s="1"/>
  <c r="AB117" i="1" s="1"/>
  <c r="AD117" i="1" s="1"/>
  <c r="AF117" i="1" s="1"/>
  <c r="AH117" i="1" s="1"/>
  <c r="R118" i="1"/>
  <c r="T118" i="1" s="1"/>
  <c r="V118" i="1" s="1"/>
  <c r="X118" i="1" s="1"/>
  <c r="Z118" i="1" s="1"/>
  <c r="AB118" i="1" s="1"/>
  <c r="AD118" i="1" s="1"/>
  <c r="AF118" i="1" s="1"/>
  <c r="AH118" i="1" s="1"/>
  <c r="R125" i="1"/>
  <c r="T125" i="1" s="1"/>
  <c r="V125" i="1" s="1"/>
  <c r="X125" i="1" s="1"/>
  <c r="Z125" i="1" s="1"/>
  <c r="AB125" i="1" s="1"/>
  <c r="AD125" i="1" s="1"/>
  <c r="AF125" i="1" s="1"/>
  <c r="AH125" i="1" s="1"/>
  <c r="R10" i="1"/>
  <c r="T10" i="1" s="1"/>
  <c r="V10" i="1" s="1"/>
  <c r="X10" i="1" s="1"/>
  <c r="Z10" i="1" s="1"/>
  <c r="AB10" i="1" s="1"/>
  <c r="AD10" i="1" s="1"/>
  <c r="AF10" i="1" s="1"/>
  <c r="AH10" i="1" s="1"/>
  <c r="AA23" i="14"/>
  <c r="Z23" i="14"/>
  <c r="AN18" i="1"/>
  <c r="AN58" i="1"/>
  <c r="E55" i="4"/>
  <c r="G55" i="4" s="1"/>
  <c r="I55" i="4" s="1"/>
  <c r="K55" i="4" s="1"/>
  <c r="M55" i="4" s="1"/>
  <c r="O55" i="4" s="1"/>
  <c r="Q55" i="4" s="1"/>
  <c r="S55" i="4" s="1"/>
  <c r="U55" i="4" s="1"/>
  <c r="E54" i="4"/>
  <c r="AN57" i="1"/>
  <c r="AO57" i="1"/>
  <c r="AN59" i="1"/>
  <c r="E44" i="4"/>
  <c r="G44" i="4" s="1"/>
  <c r="I44" i="4" s="1"/>
  <c r="K44" i="4" s="1"/>
  <c r="M44" i="4" s="1"/>
  <c r="O44" i="4" s="1"/>
  <c r="Q44" i="4" s="1"/>
  <c r="S44" i="4" s="1"/>
  <c r="U44" i="4" s="1"/>
  <c r="E45" i="4"/>
  <c r="G45" i="4" s="1"/>
  <c r="I45" i="4" s="1"/>
  <c r="K45" i="4" s="1"/>
  <c r="M45" i="4" s="1"/>
  <c r="O45" i="4" s="1"/>
  <c r="Q45" i="4" s="1"/>
  <c r="S45" i="4" s="1"/>
  <c r="U45" i="4" s="1"/>
  <c r="E30" i="4"/>
  <c r="E31" i="4"/>
  <c r="G31" i="4" s="1"/>
  <c r="I31" i="4" s="1"/>
  <c r="K31" i="4" s="1"/>
  <c r="M31" i="4" s="1"/>
  <c r="O31" i="4" s="1"/>
  <c r="Q31" i="4" s="1"/>
  <c r="S31" i="4" s="1"/>
  <c r="U31" i="4" s="1"/>
  <c r="E32" i="4"/>
  <c r="G32" i="4" s="1"/>
  <c r="I32" i="4" s="1"/>
  <c r="K32" i="4" s="1"/>
  <c r="M32" i="4" s="1"/>
  <c r="O32" i="4" s="1"/>
  <c r="Q32" i="4" s="1"/>
  <c r="S32" i="4" s="1"/>
  <c r="U32" i="4" s="1"/>
  <c r="E29" i="4"/>
  <c r="E9" i="4"/>
  <c r="E10" i="4"/>
  <c r="G10" i="4" s="1"/>
  <c r="I10" i="4" s="1"/>
  <c r="K10" i="4" s="1"/>
  <c r="M10" i="4" s="1"/>
  <c r="O10" i="4" s="1"/>
  <c r="Q10" i="4" s="1"/>
  <c r="S10" i="4" s="1"/>
  <c r="U10" i="4" s="1"/>
  <c r="E14" i="4"/>
  <c r="E15" i="4"/>
  <c r="G15" i="4" s="1"/>
  <c r="I15" i="4" s="1"/>
  <c r="K15" i="4" s="1"/>
  <c r="M15" i="4" s="1"/>
  <c r="O15" i="4" s="1"/>
  <c r="Q15" i="4" s="1"/>
  <c r="S15" i="4" s="1"/>
  <c r="U15" i="4" s="1"/>
  <c r="E16" i="4"/>
  <c r="G16" i="4" s="1"/>
  <c r="I16" i="4" s="1"/>
  <c r="K16" i="4" s="1"/>
  <c r="M16" i="4" s="1"/>
  <c r="O16" i="4" s="1"/>
  <c r="Q16" i="4" s="1"/>
  <c r="S16" i="4" s="1"/>
  <c r="U16" i="4" s="1"/>
  <c r="E17" i="4"/>
  <c r="G17" i="4" s="1"/>
  <c r="I17" i="4" s="1"/>
  <c r="K17" i="4" s="1"/>
  <c r="M17" i="4" s="1"/>
  <c r="O17" i="4" s="1"/>
  <c r="Q17" i="4" s="1"/>
  <c r="S17" i="4" s="1"/>
  <c r="U17" i="4" s="1"/>
  <c r="E18" i="4"/>
  <c r="G18" i="4" s="1"/>
  <c r="I18" i="4" s="1"/>
  <c r="K18" i="4" s="1"/>
  <c r="M18" i="4" s="1"/>
  <c r="O18" i="4" s="1"/>
  <c r="Q18" i="4" s="1"/>
  <c r="S18" i="4" s="1"/>
  <c r="U18" i="4" s="1"/>
  <c r="E21" i="4"/>
  <c r="G21" i="4" s="1"/>
  <c r="I21" i="4" s="1"/>
  <c r="K21" i="4" s="1"/>
  <c r="M21" i="4" s="1"/>
  <c r="O21" i="4" s="1"/>
  <c r="Q21" i="4" s="1"/>
  <c r="S21" i="4" s="1"/>
  <c r="U21" i="4" s="1"/>
  <c r="E23" i="4"/>
  <c r="G23" i="4" s="1"/>
  <c r="I23" i="4" s="1"/>
  <c r="K23" i="4" s="1"/>
  <c r="M23" i="4" s="1"/>
  <c r="O23" i="4" s="1"/>
  <c r="Q23" i="4" s="1"/>
  <c r="S23" i="4" s="1"/>
  <c r="U23" i="4" s="1"/>
  <c r="E24" i="4"/>
  <c r="G24" i="4" s="1"/>
  <c r="I24" i="4" s="1"/>
  <c r="K24" i="4" s="1"/>
  <c r="M24" i="4" s="1"/>
  <c r="O24" i="4" s="1"/>
  <c r="Q24" i="4" s="1"/>
  <c r="S24" i="4" s="1"/>
  <c r="U24" i="4" s="1"/>
  <c r="E25" i="4"/>
  <c r="G25" i="4" s="1"/>
  <c r="I25" i="4" s="1"/>
  <c r="K25" i="4" s="1"/>
  <c r="M25" i="4" s="1"/>
  <c r="O25" i="4" s="1"/>
  <c r="Q25" i="4" s="1"/>
  <c r="S25" i="4" s="1"/>
  <c r="U25" i="4" s="1"/>
  <c r="E8" i="4"/>
  <c r="AN54" i="1"/>
  <c r="AN244" i="1" s="1"/>
  <c r="Z11" i="14" s="1"/>
  <c r="U31" i="2"/>
  <c r="Z31" i="2" s="1"/>
  <c r="AB31" i="2" s="1"/>
  <c r="U32" i="2"/>
  <c r="Z32" i="2" s="1"/>
  <c r="AB32" i="2" s="1"/>
  <c r="L31" i="2"/>
  <c r="P31" i="2" s="1"/>
  <c r="T31" i="2" s="1"/>
  <c r="L33" i="2"/>
  <c r="P33" i="2" s="1"/>
  <c r="T33" i="2" s="1"/>
  <c r="D31" i="2"/>
  <c r="K31" i="2" s="1"/>
  <c r="O31" i="2" s="1"/>
  <c r="D33" i="2"/>
  <c r="K33" i="2" s="1"/>
  <c r="O33" i="2" s="1"/>
  <c r="D32" i="2"/>
  <c r="K32" i="2" s="1"/>
  <c r="O32" i="2" s="1"/>
  <c r="AH9" i="2"/>
  <c r="AH10" i="2"/>
  <c r="AH11" i="2"/>
  <c r="AH12" i="2"/>
  <c r="AH13" i="2"/>
  <c r="AH14" i="2"/>
  <c r="AH15" i="2"/>
  <c r="AH16" i="2"/>
  <c r="AH18" i="2"/>
  <c r="AH19" i="2"/>
  <c r="AH20" i="2"/>
  <c r="AH21" i="2"/>
  <c r="AH22" i="2"/>
  <c r="AH23" i="2"/>
  <c r="AH24" i="2"/>
  <c r="AH25" i="2"/>
  <c r="AH26" i="2"/>
  <c r="AH27" i="2"/>
  <c r="AH28" i="2"/>
  <c r="AH7" i="2"/>
  <c r="U10" i="2"/>
  <c r="U12" i="2"/>
  <c r="U13" i="2"/>
  <c r="Z13" i="2" s="1"/>
  <c r="U14" i="2"/>
  <c r="U16" i="2"/>
  <c r="U18" i="2"/>
  <c r="U19" i="2"/>
  <c r="U20" i="2"/>
  <c r="U21" i="2"/>
  <c r="U22" i="2"/>
  <c r="Z22" i="2" s="1"/>
  <c r="U23" i="2"/>
  <c r="U24" i="2"/>
  <c r="U25" i="2"/>
  <c r="U26" i="2"/>
  <c r="U27" i="2"/>
  <c r="U28" i="2"/>
  <c r="L22" i="2"/>
  <c r="P22" i="2" s="1"/>
  <c r="T22" i="2" s="1"/>
  <c r="L15" i="2"/>
  <c r="P15" i="2" s="1"/>
  <c r="T15" i="2" s="1"/>
  <c r="T6" i="2" s="1"/>
  <c r="L13" i="2"/>
  <c r="L6" i="2" s="1"/>
  <c r="D15" i="2"/>
  <c r="K15" i="2" s="1"/>
  <c r="K6" i="2" s="1"/>
  <c r="AH34" i="2" l="1"/>
  <c r="AH49" i="2"/>
  <c r="AH6" i="2"/>
  <c r="R58" i="1"/>
  <c r="R57" i="1" s="1"/>
  <c r="O55" i="2"/>
  <c r="O49" i="2" s="1"/>
  <c r="D49" i="2"/>
  <c r="T80" i="1"/>
  <c r="R79" i="1"/>
  <c r="T76" i="1"/>
  <c r="R75" i="1"/>
  <c r="G14" i="4"/>
  <c r="G13" i="4" s="1"/>
  <c r="E13" i="4"/>
  <c r="G54" i="4"/>
  <c r="E56" i="4"/>
  <c r="AO58" i="1" s="1"/>
  <c r="D30" i="2"/>
  <c r="E49" i="4"/>
  <c r="AO59" i="1" s="1"/>
  <c r="U30" i="2"/>
  <c r="U29" i="2" s="1"/>
  <c r="AN55" i="1"/>
  <c r="AN245" i="1" s="1"/>
  <c r="Z12" i="14" s="1"/>
  <c r="L30" i="2"/>
  <c r="Y33" i="2"/>
  <c r="AM33" i="2"/>
  <c r="G29" i="4"/>
  <c r="E35" i="4"/>
  <c r="AO14" i="1" s="1"/>
  <c r="Y31" i="2"/>
  <c r="AM31" i="2"/>
  <c r="G8" i="4"/>
  <c r="O15" i="2"/>
  <c r="AK84" i="2"/>
  <c r="AK79" i="2"/>
  <c r="AK75" i="2"/>
  <c r="Y15" i="2"/>
  <c r="AM15" i="2"/>
  <c r="Y22" i="2"/>
  <c r="AM22" i="2"/>
  <c r="Y81" i="2"/>
  <c r="Y74" i="2"/>
  <c r="Y73" i="2"/>
  <c r="Y84" i="2"/>
  <c r="Y79" i="2"/>
  <c r="Y75" i="2"/>
  <c r="Y76" i="2"/>
  <c r="Y66" i="2"/>
  <c r="AK67" i="2"/>
  <c r="AB67" i="2"/>
  <c r="Y80" i="2"/>
  <c r="AK81" i="2"/>
  <c r="AK76" i="2"/>
  <c r="AK74" i="2"/>
  <c r="Y82" i="2"/>
  <c r="Y77" i="2"/>
  <c r="BA172" i="1"/>
  <c r="BC172" i="1" s="1"/>
  <c r="BE172" i="1" s="1"/>
  <c r="AD133" i="1"/>
  <c r="BA210" i="1"/>
  <c r="BC210" i="1" s="1"/>
  <c r="BE210" i="1" s="1"/>
  <c r="AB42" i="2"/>
  <c r="AK65" i="2"/>
  <c r="AB65" i="2"/>
  <c r="M37" i="4"/>
  <c r="M38" i="4" s="1"/>
  <c r="G30" i="4"/>
  <c r="X101" i="1"/>
  <c r="Z102" i="1"/>
  <c r="T59" i="1"/>
  <c r="T58" i="1" s="1"/>
  <c r="AB55" i="2"/>
  <c r="AB13" i="2"/>
  <c r="AB22" i="2"/>
  <c r="R40" i="1"/>
  <c r="R33" i="1" s="1"/>
  <c r="T33" i="1" s="1"/>
  <c r="V33" i="1" s="1"/>
  <c r="X33" i="1" s="1"/>
  <c r="Z33" i="1" s="1"/>
  <c r="AB33" i="1" s="1"/>
  <c r="AD33" i="1" s="1"/>
  <c r="AF33" i="1" s="1"/>
  <c r="AH33" i="1" s="1"/>
  <c r="L32" i="2"/>
  <c r="P32" i="2" s="1"/>
  <c r="T32" i="2" s="1"/>
  <c r="R30" i="2"/>
  <c r="C30" i="2"/>
  <c r="C29" i="2" s="1"/>
  <c r="C72" i="2" s="1"/>
  <c r="C92" i="2" s="1"/>
  <c r="I30" i="2"/>
  <c r="AK39" i="2"/>
  <c r="AB39" i="2"/>
  <c r="AK38" i="2"/>
  <c r="AB38" i="2"/>
  <c r="AK40" i="2"/>
  <c r="AB40" i="2"/>
  <c r="AK43" i="2"/>
  <c r="AK41" i="2"/>
  <c r="AK37" i="2"/>
  <c r="AB37" i="2"/>
  <c r="AB34" i="2" s="1"/>
  <c r="AS171" i="1"/>
  <c r="AU171" i="1" s="1"/>
  <c r="AW171" i="1" s="1"/>
  <c r="AY171" i="1" s="1"/>
  <c r="AQ180" i="1"/>
  <c r="AO219" i="1"/>
  <c r="AQ214" i="1"/>
  <c r="AQ217" i="1" s="1"/>
  <c r="V115" i="1"/>
  <c r="V114" i="1" s="1"/>
  <c r="T114" i="1"/>
  <c r="T113" i="1" s="1"/>
  <c r="T245" i="1" s="1"/>
  <c r="F12" i="14" s="1"/>
  <c r="R98" i="1"/>
  <c r="R97" i="1" s="1"/>
  <c r="R243" i="1" s="1"/>
  <c r="D10" i="14" s="1"/>
  <c r="T99" i="1"/>
  <c r="R175" i="1"/>
  <c r="R179" i="1" s="1"/>
  <c r="T177" i="1"/>
  <c r="V209" i="1"/>
  <c r="X209" i="1" s="1"/>
  <c r="Z209" i="1" s="1"/>
  <c r="AB209" i="1" s="1"/>
  <c r="R228" i="1"/>
  <c r="R231" i="1" s="1"/>
  <c r="T230" i="1"/>
  <c r="AS133" i="1"/>
  <c r="AU133" i="1" s="1"/>
  <c r="AW133" i="1" s="1"/>
  <c r="AY133" i="1" s="1"/>
  <c r="AQ218" i="1"/>
  <c r="AS209" i="1"/>
  <c r="AU209" i="1" s="1"/>
  <c r="AW209" i="1" s="1"/>
  <c r="V184" i="1"/>
  <c r="X184" i="1" s="1"/>
  <c r="Z184" i="1" s="1"/>
  <c r="AB184" i="1" s="1"/>
  <c r="T192" i="1"/>
  <c r="T193" i="1"/>
  <c r="AO143" i="1"/>
  <c r="AQ138" i="1"/>
  <c r="AS223" i="1"/>
  <c r="AU223" i="1" s="1"/>
  <c r="AW223" i="1" s="1"/>
  <c r="AY223" i="1" s="1"/>
  <c r="AQ231" i="1"/>
  <c r="AQ232" i="1"/>
  <c r="R233" i="1"/>
  <c r="T223" i="1"/>
  <c r="AO194" i="1"/>
  <c r="AQ189" i="1"/>
  <c r="R69" i="1"/>
  <c r="T71" i="1"/>
  <c r="T70" i="1" s="1"/>
  <c r="V22" i="1"/>
  <c r="T20" i="1"/>
  <c r="AS126" i="1"/>
  <c r="AQ248" i="1"/>
  <c r="T73" i="1"/>
  <c r="T72" i="1" s="1"/>
  <c r="T55" i="1"/>
  <c r="T54" i="1" s="1"/>
  <c r="Q53" i="1"/>
  <c r="V139" i="1"/>
  <c r="X139" i="1" s="1"/>
  <c r="Z139" i="1" s="1"/>
  <c r="AB139" i="1" s="1"/>
  <c r="V171" i="1"/>
  <c r="X171" i="1" s="1"/>
  <c r="Z171" i="1" s="1"/>
  <c r="AB171" i="1" s="1"/>
  <c r="R213" i="1"/>
  <c r="R218" i="1" s="1"/>
  <c r="T215" i="1"/>
  <c r="V224" i="1"/>
  <c r="X224" i="1" s="1"/>
  <c r="Z224" i="1" s="1"/>
  <c r="AB224" i="1" s="1"/>
  <c r="AQ142" i="1"/>
  <c r="AS134" i="1"/>
  <c r="AU134" i="1" s="1"/>
  <c r="AW134" i="1" s="1"/>
  <c r="AY134" i="1" s="1"/>
  <c r="BA134" i="1" s="1"/>
  <c r="BC134" i="1" s="1"/>
  <c r="BE134" i="1" s="1"/>
  <c r="AO181" i="1"/>
  <c r="AQ176" i="1"/>
  <c r="AQ179" i="1" s="1"/>
  <c r="AS184" i="1"/>
  <c r="AU184" i="1" s="1"/>
  <c r="AW184" i="1" s="1"/>
  <c r="AY184" i="1" s="1"/>
  <c r="AQ192" i="1"/>
  <c r="AQ193" i="1"/>
  <c r="AS229" i="1"/>
  <c r="AQ233" i="1"/>
  <c r="T12" i="1"/>
  <c r="V13" i="1"/>
  <c r="AK80" i="2"/>
  <c r="AK73" i="2"/>
  <c r="AI84" i="2"/>
  <c r="AI81" i="2"/>
  <c r="AI79" i="2"/>
  <c r="AI76" i="2"/>
  <c r="AI75" i="2"/>
  <c r="AI74" i="2"/>
  <c r="AI67" i="2"/>
  <c r="AI71" i="2"/>
  <c r="Z71" i="2"/>
  <c r="AK71" i="2" s="1"/>
  <c r="AK82" i="2"/>
  <c r="AK77" i="2"/>
  <c r="AI82" i="2"/>
  <c r="AI80" i="2"/>
  <c r="AI77" i="2"/>
  <c r="AI73" i="2"/>
  <c r="AK33" i="2"/>
  <c r="AK31" i="2"/>
  <c r="AI64" i="2"/>
  <c r="Z64" i="2"/>
  <c r="AK66" i="2"/>
  <c r="AI66" i="2"/>
  <c r="AI65" i="2"/>
  <c r="AI63" i="2"/>
  <c r="Z63" i="2"/>
  <c r="AI59" i="2"/>
  <c r="Z59" i="2"/>
  <c r="AI51" i="2"/>
  <c r="Z51" i="2"/>
  <c r="P55" i="2"/>
  <c r="P49" i="2" s="1"/>
  <c r="AI61" i="2"/>
  <c r="Z61" i="2"/>
  <c r="AI53" i="2"/>
  <c r="Z53" i="2"/>
  <c r="AI62" i="2"/>
  <c r="Z62" i="2"/>
  <c r="AI58" i="2"/>
  <c r="Z58" i="2"/>
  <c r="AI54" i="2"/>
  <c r="Z54" i="2"/>
  <c r="AI50" i="2"/>
  <c r="Z50" i="2"/>
  <c r="AI60" i="2"/>
  <c r="Z60" i="2"/>
  <c r="AI56" i="2"/>
  <c r="Z56" i="2"/>
  <c r="AI52" i="2"/>
  <c r="Z52" i="2"/>
  <c r="P42" i="2"/>
  <c r="P34" i="2" s="1"/>
  <c r="AI35" i="2"/>
  <c r="Z35" i="2"/>
  <c r="AI27" i="2"/>
  <c r="Z27" i="2"/>
  <c r="AI19" i="2"/>
  <c r="Z19" i="2"/>
  <c r="AI12" i="2"/>
  <c r="Z12" i="2"/>
  <c r="AI26" i="2"/>
  <c r="Z26" i="2"/>
  <c r="AI18" i="2"/>
  <c r="Z18" i="2"/>
  <c r="AI14" i="2"/>
  <c r="Z14" i="2"/>
  <c r="AI24" i="2"/>
  <c r="Z24" i="2"/>
  <c r="AI20" i="2"/>
  <c r="Z20" i="2"/>
  <c r="AI23" i="2"/>
  <c r="Z23" i="2"/>
  <c r="P13" i="2"/>
  <c r="P6" i="2" s="1"/>
  <c r="AI28" i="2"/>
  <c r="Z28" i="2"/>
  <c r="AI25" i="2"/>
  <c r="Z25" i="2"/>
  <c r="AI21" i="2"/>
  <c r="Z21" i="2"/>
  <c r="AI16" i="2"/>
  <c r="Z16" i="2"/>
  <c r="AI10" i="2"/>
  <c r="Z10" i="2"/>
  <c r="R105" i="1"/>
  <c r="R100" i="1" s="1"/>
  <c r="T106" i="1"/>
  <c r="G9" i="4"/>
  <c r="I9" i="4" s="1"/>
  <c r="T41" i="1"/>
  <c r="T40" i="1" s="1"/>
  <c r="R24" i="1"/>
  <c r="T25" i="1"/>
  <c r="T77" i="1"/>
  <c r="AH32" i="2"/>
  <c r="AI31" i="2"/>
  <c r="AH31" i="2"/>
  <c r="AH33" i="2"/>
  <c r="R192" i="1"/>
  <c r="R193" i="1"/>
  <c r="AO248" i="1"/>
  <c r="Q231" i="1"/>
  <c r="AI55" i="2"/>
  <c r="Q180" i="1"/>
  <c r="Q142" i="1"/>
  <c r="AN12" i="1"/>
  <c r="AN243" i="1" s="1"/>
  <c r="Z10" i="14" s="1"/>
  <c r="AO18" i="1"/>
  <c r="AO231" i="1"/>
  <c r="AO142" i="1"/>
  <c r="AO141" i="1"/>
  <c r="Q243" i="1"/>
  <c r="C10" i="14" s="1"/>
  <c r="AN249" i="1"/>
  <c r="R114" i="1"/>
  <c r="R113" i="1" s="1"/>
  <c r="R245" i="1" s="1"/>
  <c r="D12" i="14" s="1"/>
  <c r="AN127" i="1"/>
  <c r="AN124" i="1" s="1"/>
  <c r="AN123" i="1" s="1"/>
  <c r="AN247" i="1" s="1"/>
  <c r="Z18" i="14" s="1"/>
  <c r="AO179" i="1"/>
  <c r="AO192" i="1"/>
  <c r="AO217" i="1"/>
  <c r="Q217" i="1"/>
  <c r="Q246" i="1"/>
  <c r="C18" i="14" s="1"/>
  <c r="AN235" i="1"/>
  <c r="Q247" i="1"/>
  <c r="R12" i="1"/>
  <c r="R20" i="1"/>
  <c r="AN56" i="1"/>
  <c r="AN246" i="1" s="1"/>
  <c r="Z13" i="14" s="1"/>
  <c r="AO233" i="1"/>
  <c r="AO232" i="1"/>
  <c r="AO218" i="1"/>
  <c r="AO193" i="1"/>
  <c r="AO180" i="1"/>
  <c r="AI33" i="2"/>
  <c r="Q85" i="1"/>
  <c r="Q68" i="1"/>
  <c r="Q241" i="1" s="1"/>
  <c r="C8" i="14" s="1"/>
  <c r="AT11" i="1"/>
  <c r="AM248" i="1"/>
  <c r="P248" i="1"/>
  <c r="AM249" i="1" s="1"/>
  <c r="P235" i="1"/>
  <c r="P124" i="1"/>
  <c r="R124" i="1" s="1"/>
  <c r="T124" i="1" s="1"/>
  <c r="V124" i="1" s="1"/>
  <c r="X124" i="1" s="1"/>
  <c r="Z124" i="1" s="1"/>
  <c r="AB124" i="1" s="1"/>
  <c r="AD124" i="1" s="1"/>
  <c r="AF124" i="1" s="1"/>
  <c r="AH124" i="1" s="1"/>
  <c r="P114" i="1"/>
  <c r="P113" i="1" s="1"/>
  <c r="L29" i="2" l="1"/>
  <c r="I29" i="2"/>
  <c r="I72" i="2" s="1"/>
  <c r="I92" i="2" s="1"/>
  <c r="AN9" i="1" s="1"/>
  <c r="R72" i="2"/>
  <c r="R92" i="2" s="1"/>
  <c r="R29" i="2"/>
  <c r="I14" i="4"/>
  <c r="I13" i="4" s="1"/>
  <c r="L72" i="2"/>
  <c r="L92" i="2" s="1"/>
  <c r="V76" i="1"/>
  <c r="T75" i="1"/>
  <c r="V80" i="1"/>
  <c r="T79" i="1"/>
  <c r="P30" i="2"/>
  <c r="K30" i="2"/>
  <c r="K29" i="2" s="1"/>
  <c r="D29" i="2"/>
  <c r="AO11" i="1"/>
  <c r="AO242" i="1" s="1"/>
  <c r="AA9" i="14" s="1"/>
  <c r="AI30" i="2"/>
  <c r="Z30" i="2"/>
  <c r="Z29" i="2" s="1"/>
  <c r="I54" i="4"/>
  <c r="G56" i="4"/>
  <c r="AQ58" i="1" s="1"/>
  <c r="AS58" i="1" s="1"/>
  <c r="AW58" i="1" s="1"/>
  <c r="AY58" i="1" s="1"/>
  <c r="BA58" i="1" s="1"/>
  <c r="BC58" i="1" s="1"/>
  <c r="G49" i="4"/>
  <c r="AQ59" i="1" s="1"/>
  <c r="AS59" i="1" s="1"/>
  <c r="AU59" i="1" s="1"/>
  <c r="AW59" i="1" s="1"/>
  <c r="AY59" i="1" s="1"/>
  <c r="BA59" i="1" s="1"/>
  <c r="BC59" i="1" s="1"/>
  <c r="AT242" i="1"/>
  <c r="AT129" i="1"/>
  <c r="AT122" i="1"/>
  <c r="AT128" i="1" s="1"/>
  <c r="AT234" i="1" s="1"/>
  <c r="AT236" i="1" s="1"/>
  <c r="K9" i="4"/>
  <c r="AN8" i="1"/>
  <c r="AN239" i="1" s="1"/>
  <c r="Z6" i="14" s="1"/>
  <c r="I29" i="4"/>
  <c r="G35" i="4"/>
  <c r="AQ14" i="1" s="1"/>
  <c r="Y32" i="2"/>
  <c r="AM32" i="2"/>
  <c r="AW218" i="1"/>
  <c r="AY209" i="1"/>
  <c r="BA184" i="1"/>
  <c r="AY193" i="1"/>
  <c r="AD171" i="1"/>
  <c r="AD209" i="1"/>
  <c r="AD224" i="1"/>
  <c r="AD139" i="1"/>
  <c r="AB137" i="1"/>
  <c r="BA223" i="1"/>
  <c r="AY232" i="1"/>
  <c r="BA133" i="1"/>
  <c r="AY142" i="1"/>
  <c r="AD184" i="1"/>
  <c r="AB193" i="1"/>
  <c r="AB192" i="1"/>
  <c r="BA171" i="1"/>
  <c r="AY180" i="1"/>
  <c r="AB102" i="1"/>
  <c r="Z101" i="1"/>
  <c r="AF133" i="1"/>
  <c r="O37" i="4"/>
  <c r="O38" i="4" s="1"/>
  <c r="I30" i="4"/>
  <c r="AW193" i="1"/>
  <c r="Z137" i="1"/>
  <c r="AW232" i="1"/>
  <c r="Z193" i="1"/>
  <c r="Z192" i="1"/>
  <c r="AW142" i="1"/>
  <c r="AW180" i="1"/>
  <c r="AU193" i="1"/>
  <c r="X137" i="1"/>
  <c r="V59" i="1"/>
  <c r="V58" i="1" s="1"/>
  <c r="T57" i="1"/>
  <c r="T53" i="1" s="1"/>
  <c r="T240" i="1" s="1"/>
  <c r="AS248" i="1"/>
  <c r="AU126" i="1"/>
  <c r="AS233" i="1"/>
  <c r="AU229" i="1"/>
  <c r="AU231" i="1" s="1"/>
  <c r="AU232" i="1"/>
  <c r="AU218" i="1"/>
  <c r="AU142" i="1"/>
  <c r="AU180" i="1"/>
  <c r="X193" i="1"/>
  <c r="X192" i="1"/>
  <c r="AH30" i="2"/>
  <c r="AH29" i="2" s="1"/>
  <c r="AI32" i="2"/>
  <c r="AK32" i="2"/>
  <c r="K14" i="4"/>
  <c r="AB64" i="2"/>
  <c r="AK64" i="2"/>
  <c r="T248" i="1"/>
  <c r="AQ249" i="1" s="1"/>
  <c r="V20" i="1"/>
  <c r="X22" i="1"/>
  <c r="X115" i="1"/>
  <c r="V12" i="1"/>
  <c r="X13" i="1"/>
  <c r="R232" i="1"/>
  <c r="AR11" i="1"/>
  <c r="AN11" i="1"/>
  <c r="AN242" i="1" s="1"/>
  <c r="Z9" i="14" s="1"/>
  <c r="AS11" i="1"/>
  <c r="AU11" i="1" s="1"/>
  <c r="AK60" i="2"/>
  <c r="AB60" i="2"/>
  <c r="AK62" i="2"/>
  <c r="AB62" i="2"/>
  <c r="AK51" i="2"/>
  <c r="AB51" i="2"/>
  <c r="AK56" i="2"/>
  <c r="AB56" i="2"/>
  <c r="AB50" i="2"/>
  <c r="AK58" i="2"/>
  <c r="AB58" i="2"/>
  <c r="AK53" i="2"/>
  <c r="AB53" i="2"/>
  <c r="AK59" i="2"/>
  <c r="AB59" i="2"/>
  <c r="AK52" i="2"/>
  <c r="AB52" i="2"/>
  <c r="AK54" i="2"/>
  <c r="AB54" i="2"/>
  <c r="AK61" i="2"/>
  <c r="AB61" i="2"/>
  <c r="AK63" i="2"/>
  <c r="AB63" i="2"/>
  <c r="T42" i="2"/>
  <c r="T34" i="2" s="1"/>
  <c r="R180" i="1"/>
  <c r="AS193" i="1"/>
  <c r="V137" i="1"/>
  <c r="AS232" i="1"/>
  <c r="AS231" i="1"/>
  <c r="V230" i="1"/>
  <c r="T228" i="1"/>
  <c r="R53" i="1"/>
  <c r="R130" i="1" s="1"/>
  <c r="AQ181" i="1"/>
  <c r="AS176" i="1"/>
  <c r="AS179" i="1" s="1"/>
  <c r="V73" i="1"/>
  <c r="V72" i="1" s="1"/>
  <c r="V223" i="1"/>
  <c r="T233" i="1"/>
  <c r="AS138" i="1"/>
  <c r="AQ143" i="1"/>
  <c r="V192" i="1"/>
  <c r="V193" i="1"/>
  <c r="AS218" i="1"/>
  <c r="AQ141" i="1"/>
  <c r="AQ194" i="1"/>
  <c r="AS189" i="1"/>
  <c r="R217" i="1"/>
  <c r="V215" i="1"/>
  <c r="T213" i="1"/>
  <c r="T235" i="1"/>
  <c r="T69" i="1"/>
  <c r="V71" i="1"/>
  <c r="V70" i="1" s="1"/>
  <c r="AS142" i="1"/>
  <c r="V177" i="1"/>
  <c r="T175" i="1"/>
  <c r="V99" i="1"/>
  <c r="T98" i="1"/>
  <c r="T97" i="1" s="1"/>
  <c r="T243" i="1" s="1"/>
  <c r="F10" i="14" s="1"/>
  <c r="AS214" i="1"/>
  <c r="AQ219" i="1"/>
  <c r="AS180" i="1"/>
  <c r="AK10" i="2"/>
  <c r="AK16" i="2"/>
  <c r="AB16" i="2"/>
  <c r="AK25" i="2"/>
  <c r="AB25" i="2"/>
  <c r="AK24" i="2"/>
  <c r="AB24" i="2"/>
  <c r="AK26" i="2"/>
  <c r="AK12" i="2"/>
  <c r="AB12" i="2"/>
  <c r="AK19" i="2"/>
  <c r="AK21" i="2"/>
  <c r="AK28" i="2"/>
  <c r="AB28" i="2"/>
  <c r="AK23" i="2"/>
  <c r="AB23" i="2"/>
  <c r="AK20" i="2"/>
  <c r="AB20" i="2"/>
  <c r="AK18" i="2"/>
  <c r="AB18" i="2"/>
  <c r="AK27" i="2"/>
  <c r="AB27" i="2"/>
  <c r="AQ242" i="1"/>
  <c r="AC9" i="14" s="1"/>
  <c r="V106" i="1"/>
  <c r="T105" i="1"/>
  <c r="T100" i="1" s="1"/>
  <c r="T244" i="1" s="1"/>
  <c r="F11" i="14" s="1"/>
  <c r="V41" i="1"/>
  <c r="V40" i="1" s="1"/>
  <c r="T24" i="1"/>
  <c r="T9" i="1" s="1"/>
  <c r="V25" i="1"/>
  <c r="V24" i="1" s="1"/>
  <c r="V77" i="1"/>
  <c r="X77" i="1" s="1"/>
  <c r="Z77" i="1" s="1"/>
  <c r="AB77" i="1" s="1"/>
  <c r="AD77" i="1" s="1"/>
  <c r="AF77" i="1" s="1"/>
  <c r="AH77" i="1" s="1"/>
  <c r="AK55" i="2"/>
  <c r="AK50" i="2"/>
  <c r="AK35" i="2"/>
  <c r="AK14" i="2"/>
  <c r="AO56" i="1"/>
  <c r="AO246" i="1" s="1"/>
  <c r="AA13" i="14" s="1"/>
  <c r="Q242" i="1"/>
  <c r="C9" i="14" s="1"/>
  <c r="Q130" i="1"/>
  <c r="Q240" i="1"/>
  <c r="R9" i="1"/>
  <c r="AN130" i="1"/>
  <c r="AN253" i="1"/>
  <c r="Q239" i="1"/>
  <c r="AI29" i="2" l="1"/>
  <c r="P29" i="2"/>
  <c r="P72" i="2" s="1"/>
  <c r="P92" i="2" s="1"/>
  <c r="AQ9" i="1" s="1"/>
  <c r="AS9" i="1" s="1"/>
  <c r="AH72" i="2"/>
  <c r="AH92" i="2" s="1"/>
  <c r="AO9" i="1"/>
  <c r="X80" i="1"/>
  <c r="V79" i="1"/>
  <c r="X76" i="1"/>
  <c r="V75" i="1"/>
  <c r="T30" i="2"/>
  <c r="O30" i="2"/>
  <c r="O29" i="2" s="1"/>
  <c r="M14" i="4"/>
  <c r="M13" i="4" s="1"/>
  <c r="K13" i="4"/>
  <c r="AK30" i="2"/>
  <c r="AK29" i="2" s="1"/>
  <c r="AB30" i="2"/>
  <c r="AB29" i="2" s="1"/>
  <c r="AQ56" i="1"/>
  <c r="AQ246" i="1" s="1"/>
  <c r="AC13" i="14" s="1"/>
  <c r="AS56" i="1"/>
  <c r="AS246" i="1" s="1"/>
  <c r="AE13" i="14" s="1"/>
  <c r="AU56" i="1"/>
  <c r="BA56" i="1"/>
  <c r="BA246" i="1" s="1"/>
  <c r="AM13" i="14" s="1"/>
  <c r="BE56" i="1"/>
  <c r="BE246" i="1" s="1"/>
  <c r="AQ13" i="14" s="1"/>
  <c r="BC56" i="1"/>
  <c r="BC246" i="1" s="1"/>
  <c r="AO13" i="14" s="1"/>
  <c r="K54" i="4"/>
  <c r="I56" i="4"/>
  <c r="AW56" i="1"/>
  <c r="AW246" i="1" s="1"/>
  <c r="AI13" i="14" s="1"/>
  <c r="AY56" i="1"/>
  <c r="AY246" i="1" s="1"/>
  <c r="AK13" i="14" s="1"/>
  <c r="I49" i="4"/>
  <c r="AQ18" i="1"/>
  <c r="AS18" i="1" s="1"/>
  <c r="AU18" i="1" s="1"/>
  <c r="AW18" i="1" s="1"/>
  <c r="AY18" i="1" s="1"/>
  <c r="BA18" i="1" s="1"/>
  <c r="BC18" i="1" s="1"/>
  <c r="M9" i="4"/>
  <c r="AM42" i="2"/>
  <c r="AM34" i="2" s="1"/>
  <c r="AF9" i="14"/>
  <c r="AT252" i="1"/>
  <c r="AT250" i="1"/>
  <c r="AT254" i="1" s="1"/>
  <c r="K29" i="4"/>
  <c r="I35" i="4"/>
  <c r="AS14" i="1" s="1"/>
  <c r="AD102" i="1"/>
  <c r="AF102" i="1" s="1"/>
  <c r="AB101" i="1"/>
  <c r="BC133" i="1"/>
  <c r="BA142" i="1"/>
  <c r="AB141" i="1"/>
  <c r="AB142" i="1"/>
  <c r="BA193" i="1"/>
  <c r="BC184" i="1"/>
  <c r="AF184" i="1"/>
  <c r="AD192" i="1"/>
  <c r="AD193" i="1"/>
  <c r="AF224" i="1"/>
  <c r="AF171" i="1"/>
  <c r="AY218" i="1"/>
  <c r="BA209" i="1"/>
  <c r="AH133" i="1"/>
  <c r="BC171" i="1"/>
  <c r="BA180" i="1"/>
  <c r="BA232" i="1"/>
  <c r="BC223" i="1"/>
  <c r="AF139" i="1"/>
  <c r="AD137" i="1"/>
  <c r="AF209" i="1"/>
  <c r="Q37" i="4"/>
  <c r="Q38" i="4" s="1"/>
  <c r="AQ235" i="1"/>
  <c r="AD28" i="2"/>
  <c r="AD6" i="2" s="1"/>
  <c r="V57" i="1"/>
  <c r="V53" i="1" s="1"/>
  <c r="V240" i="1" s="1"/>
  <c r="K30" i="4"/>
  <c r="Z141" i="1"/>
  <c r="Z142" i="1"/>
  <c r="Z115" i="1"/>
  <c r="X114" i="1"/>
  <c r="X113" i="1" s="1"/>
  <c r="X245" i="1" s="1"/>
  <c r="J12" i="14" s="1"/>
  <c r="AU248" i="1"/>
  <c r="AW126" i="1"/>
  <c r="AY126" i="1" s="1"/>
  <c r="AU233" i="1"/>
  <c r="AW229" i="1"/>
  <c r="AY229" i="1" s="1"/>
  <c r="X12" i="1"/>
  <c r="Z13" i="1"/>
  <c r="AU242" i="1"/>
  <c r="AG9" i="14" s="1"/>
  <c r="AW11" i="1"/>
  <c r="X20" i="1"/>
  <c r="Z22" i="1"/>
  <c r="AS181" i="1"/>
  <c r="AU176" i="1"/>
  <c r="AW176" i="1" s="1"/>
  <c r="AY176" i="1" s="1"/>
  <c r="V228" i="1"/>
  <c r="V232" i="1" s="1"/>
  <c r="X230" i="1"/>
  <c r="V233" i="1"/>
  <c r="X223" i="1"/>
  <c r="X141" i="1"/>
  <c r="X142" i="1"/>
  <c r="AS242" i="1"/>
  <c r="AE9" i="14" s="1"/>
  <c r="AS219" i="1"/>
  <c r="AU214" i="1"/>
  <c r="AW214" i="1" s="1"/>
  <c r="AY214" i="1" s="1"/>
  <c r="V175" i="1"/>
  <c r="V179" i="1" s="1"/>
  <c r="X177" i="1"/>
  <c r="V213" i="1"/>
  <c r="V217" i="1" s="1"/>
  <c r="X215" i="1"/>
  <c r="AS194" i="1"/>
  <c r="AU189" i="1"/>
  <c r="AW189" i="1" s="1"/>
  <c r="AY189" i="1" s="1"/>
  <c r="AS143" i="1"/>
  <c r="AU138" i="1"/>
  <c r="AW138" i="1" s="1"/>
  <c r="AY138" i="1" s="1"/>
  <c r="X59" i="1"/>
  <c r="X58" i="1" s="1"/>
  <c r="Y55" i="2"/>
  <c r="Y49" i="2" s="1"/>
  <c r="Y42" i="2"/>
  <c r="Y34" i="2" s="1"/>
  <c r="Y13" i="2"/>
  <c r="Y6" i="2" s="1"/>
  <c r="F19" i="14"/>
  <c r="AC19" i="14" s="1"/>
  <c r="AQ127" i="1"/>
  <c r="AQ124" i="1" s="1"/>
  <c r="AQ123" i="1" s="1"/>
  <c r="AQ247" i="1" s="1"/>
  <c r="AC18" i="14" s="1"/>
  <c r="X41" i="1"/>
  <c r="X73" i="1"/>
  <c r="X72" i="1" s="1"/>
  <c r="V98" i="1"/>
  <c r="X99" i="1"/>
  <c r="V113" i="1"/>
  <c r="X25" i="1"/>
  <c r="V105" i="1"/>
  <c r="X106" i="1"/>
  <c r="X71" i="1"/>
  <c r="AN240" i="1"/>
  <c r="AN10" i="1"/>
  <c r="AN241" i="1" s="1"/>
  <c r="Z8" i="14" s="1"/>
  <c r="AR242" i="1"/>
  <c r="AR129" i="1"/>
  <c r="AR122" i="1"/>
  <c r="AR128" i="1" s="1"/>
  <c r="AR234" i="1" s="1"/>
  <c r="AR236" i="1" s="1"/>
  <c r="AS141" i="1"/>
  <c r="AS217" i="1"/>
  <c r="T130" i="1"/>
  <c r="AS192" i="1"/>
  <c r="T179" i="1"/>
  <c r="T180" i="1"/>
  <c r="T232" i="1"/>
  <c r="T231" i="1"/>
  <c r="V142" i="1"/>
  <c r="V141" i="1"/>
  <c r="R240" i="1"/>
  <c r="R253" i="1" s="1"/>
  <c r="D22" i="14" s="1"/>
  <c r="V235" i="1"/>
  <c r="T217" i="1"/>
  <c r="T218" i="1"/>
  <c r="V248" i="1"/>
  <c r="T8" i="1"/>
  <c r="T239" i="1" s="1"/>
  <c r="F6" i="14" s="1"/>
  <c r="F7" i="14"/>
  <c r="T253" i="1"/>
  <c r="F22" i="14" s="1"/>
  <c r="R8" i="1"/>
  <c r="R239" i="1" s="1"/>
  <c r="D6" i="14" s="1"/>
  <c r="C7" i="14"/>
  <c r="Z17" i="14" s="1"/>
  <c r="Q253" i="1"/>
  <c r="C22" i="14" s="1"/>
  <c r="Z22" i="14"/>
  <c r="C6" i="14"/>
  <c r="K18" i="44"/>
  <c r="L18" i="44"/>
  <c r="Q11" i="2"/>
  <c r="U11" i="2" s="1"/>
  <c r="X19" i="44"/>
  <c r="T29" i="2" l="1"/>
  <c r="T72" i="2" s="1"/>
  <c r="T92" i="2" s="1"/>
  <c r="AW9" i="1" s="1"/>
  <c r="AM30" i="2"/>
  <c r="AM29" i="2" s="1"/>
  <c r="Z76" i="1"/>
  <c r="X75" i="1"/>
  <c r="Z80" i="1"/>
  <c r="X79" i="1"/>
  <c r="Y30" i="2"/>
  <c r="O14" i="4"/>
  <c r="O13" i="4" s="1"/>
  <c r="K56" i="4"/>
  <c r="M54" i="4"/>
  <c r="K49" i="4"/>
  <c r="AF21" i="14"/>
  <c r="AT255" i="1"/>
  <c r="AF24" i="14" s="1"/>
  <c r="AU246" i="1"/>
  <c r="AG13" i="14" s="1"/>
  <c r="AF16" i="14"/>
  <c r="AF14" i="14"/>
  <c r="O9" i="4"/>
  <c r="M29" i="4"/>
  <c r="K35" i="4"/>
  <c r="AU14" i="1" s="1"/>
  <c r="AD72" i="2"/>
  <c r="AD92" i="2" s="1"/>
  <c r="AM28" i="2"/>
  <c r="AM6" i="2" s="1"/>
  <c r="BA126" i="1"/>
  <c r="AY248" i="1"/>
  <c r="BC209" i="1"/>
  <c r="BA218" i="1"/>
  <c r="AY143" i="1"/>
  <c r="BA138" i="1"/>
  <c r="AY141" i="1"/>
  <c r="BA214" i="1"/>
  <c r="AY219" i="1"/>
  <c r="AH209" i="1"/>
  <c r="AH139" i="1"/>
  <c r="AF137" i="1"/>
  <c r="AH184" i="1"/>
  <c r="AF193" i="1"/>
  <c r="AF192" i="1"/>
  <c r="BE133" i="1"/>
  <c r="BC142" i="1"/>
  <c r="BA176" i="1"/>
  <c r="AY181" i="1"/>
  <c r="AY179" i="1"/>
  <c r="BA229" i="1"/>
  <c r="AY233" i="1"/>
  <c r="AY231" i="1"/>
  <c r="AD142" i="1"/>
  <c r="AD141" i="1"/>
  <c r="AH224" i="1"/>
  <c r="AD101" i="1"/>
  <c r="BA189" i="1"/>
  <c r="AY194" i="1"/>
  <c r="AY192" i="1"/>
  <c r="Z114" i="1"/>
  <c r="Z113" i="1" s="1"/>
  <c r="Z245" i="1" s="1"/>
  <c r="L12" i="14" s="1"/>
  <c r="AB115" i="1"/>
  <c r="BE223" i="1"/>
  <c r="BC232" i="1"/>
  <c r="BC180" i="1"/>
  <c r="BE171" i="1"/>
  <c r="AY217" i="1"/>
  <c r="AH171" i="1"/>
  <c r="BC193" i="1"/>
  <c r="BE184" i="1"/>
  <c r="AF101" i="1"/>
  <c r="AH102" i="1"/>
  <c r="AH101" i="1" s="1"/>
  <c r="S37" i="4"/>
  <c r="S38" i="4" s="1"/>
  <c r="Z20" i="1"/>
  <c r="AB22" i="1"/>
  <c r="Z12" i="1"/>
  <c r="AB13" i="1"/>
  <c r="AW242" i="1"/>
  <c r="AI9" i="14" s="1"/>
  <c r="AY11" i="1"/>
  <c r="V218" i="1"/>
  <c r="M30" i="4"/>
  <c r="AW143" i="1"/>
  <c r="AW141" i="1"/>
  <c r="X213" i="1"/>
  <c r="X218" i="1" s="1"/>
  <c r="Z215" i="1"/>
  <c r="AW219" i="1"/>
  <c r="AW217" i="1"/>
  <c r="X233" i="1"/>
  <c r="Z223" i="1"/>
  <c r="X228" i="1"/>
  <c r="X231" i="1" s="1"/>
  <c r="Z230" i="1"/>
  <c r="X105" i="1"/>
  <c r="X100" i="1" s="1"/>
  <c r="X244" i="1" s="1"/>
  <c r="J11" i="14" s="1"/>
  <c r="Z106" i="1"/>
  <c r="AB106" i="1" s="1"/>
  <c r="X98" i="1"/>
  <c r="X97" i="1" s="1"/>
  <c r="X243" i="1" s="1"/>
  <c r="J10" i="14" s="1"/>
  <c r="Z99" i="1"/>
  <c r="AW194" i="1"/>
  <c r="AW192" i="1"/>
  <c r="X175" i="1"/>
  <c r="X180" i="1" s="1"/>
  <c r="Z177" i="1"/>
  <c r="AB177" i="1" s="1"/>
  <c r="Z59" i="1"/>
  <c r="AW181" i="1"/>
  <c r="AW179" i="1"/>
  <c r="AW233" i="1"/>
  <c r="AW231" i="1"/>
  <c r="AW248" i="1"/>
  <c r="X24" i="1"/>
  <c r="X9" i="1" s="1"/>
  <c r="Z25" i="1"/>
  <c r="Z73" i="1"/>
  <c r="Z71" i="1"/>
  <c r="X70" i="1"/>
  <c r="X69" i="1" s="1"/>
  <c r="X40" i="1"/>
  <c r="Z41" i="1"/>
  <c r="V231" i="1"/>
  <c r="X235" i="1"/>
  <c r="X248" i="1"/>
  <c r="AU143" i="1"/>
  <c r="AU141" i="1"/>
  <c r="AU219" i="1"/>
  <c r="AU217" i="1"/>
  <c r="V180" i="1"/>
  <c r="AU181" i="1"/>
  <c r="AU179" i="1"/>
  <c r="AU194" i="1"/>
  <c r="AU192" i="1"/>
  <c r="V9" i="1"/>
  <c r="V8" i="1" s="1"/>
  <c r="V239" i="1" s="1"/>
  <c r="H6" i="14" s="1"/>
  <c r="V100" i="1"/>
  <c r="V244" i="1" s="1"/>
  <c r="H11" i="14" s="1"/>
  <c r="D7" i="14"/>
  <c r="V245" i="1"/>
  <c r="H12" i="14" s="1"/>
  <c r="V69" i="1"/>
  <c r="V97" i="1"/>
  <c r="AN122" i="1"/>
  <c r="AN128" i="1" s="1"/>
  <c r="AN234" i="1" s="1"/>
  <c r="AN236" i="1" s="1"/>
  <c r="AD9" i="14"/>
  <c r="AR250" i="1"/>
  <c r="AR254" i="1" s="1"/>
  <c r="AR252" i="1"/>
  <c r="AN129" i="1"/>
  <c r="Z7" i="14"/>
  <c r="Z14" i="14" s="1"/>
  <c r="Z20" i="14" s="1"/>
  <c r="Z26" i="14" s="1"/>
  <c r="AN252" i="1"/>
  <c r="Z21" i="14" s="1"/>
  <c r="AN250" i="1"/>
  <c r="H19" i="14"/>
  <c r="AE19" i="14" s="1"/>
  <c r="AS127" i="1"/>
  <c r="AS124" i="1" s="1"/>
  <c r="AS123" i="1" s="1"/>
  <c r="AS247" i="1" s="1"/>
  <c r="AE18" i="14" s="1"/>
  <c r="AS235" i="1"/>
  <c r="AS249" i="1"/>
  <c r="H7" i="14"/>
  <c r="AI11" i="2"/>
  <c r="Z11" i="2"/>
  <c r="AN256" i="1"/>
  <c r="Z25" i="14" s="1"/>
  <c r="C49" i="4"/>
  <c r="Y29" i="2" l="1"/>
  <c r="Y72" i="2" s="1"/>
  <c r="Y92" i="2" s="1"/>
  <c r="AM72" i="2"/>
  <c r="AM92" i="2" s="1"/>
  <c r="AB59" i="1"/>
  <c r="AB58" i="1" s="1"/>
  <c r="Z58" i="1"/>
  <c r="Z57" i="1" s="1"/>
  <c r="Z53" i="1" s="1"/>
  <c r="Q14" i="4"/>
  <c r="Q13" i="4" s="1"/>
  <c r="AB80" i="1"/>
  <c r="Z79" i="1"/>
  <c r="AB76" i="1"/>
  <c r="Z75" i="1"/>
  <c r="O54" i="4"/>
  <c r="M56" i="4"/>
  <c r="M49" i="4"/>
  <c r="O29" i="4"/>
  <c r="M35" i="4"/>
  <c r="AW14" i="1" s="1"/>
  <c r="Q9" i="4"/>
  <c r="AF20" i="14"/>
  <c r="AF26" i="14" s="1"/>
  <c r="AF27" i="14" s="1"/>
  <c r="AF15" i="14"/>
  <c r="BE142" i="1"/>
  <c r="AF142" i="1"/>
  <c r="AF141" i="1"/>
  <c r="AD106" i="1"/>
  <c r="AB105" i="1"/>
  <c r="AB100" i="1" s="1"/>
  <c r="AB244" i="1" s="1"/>
  <c r="N11" i="14" s="1"/>
  <c r="Z233" i="1"/>
  <c r="AB223" i="1"/>
  <c r="Z213" i="1"/>
  <c r="Z218" i="1" s="1"/>
  <c r="AB215" i="1"/>
  <c r="BE180" i="1"/>
  <c r="BE232" i="1"/>
  <c r="BA181" i="1"/>
  <c r="BC176" i="1"/>
  <c r="BA179" i="1"/>
  <c r="BC138" i="1"/>
  <c r="BA143" i="1"/>
  <c r="BA141" i="1"/>
  <c r="BE209" i="1"/>
  <c r="BC218" i="1"/>
  <c r="BE193" i="1"/>
  <c r="AD115" i="1"/>
  <c r="AB114" i="1"/>
  <c r="AB113" i="1" s="1"/>
  <c r="AB245" i="1" s="1"/>
  <c r="N12" i="14" s="1"/>
  <c r="BC189" i="1"/>
  <c r="BA194" i="1"/>
  <c r="BA192" i="1"/>
  <c r="BC229" i="1"/>
  <c r="BA233" i="1"/>
  <c r="BA231" i="1"/>
  <c r="AB175" i="1"/>
  <c r="AD177" i="1"/>
  <c r="Z98" i="1"/>
  <c r="Z97" i="1" s="1"/>
  <c r="Z243" i="1" s="1"/>
  <c r="L10" i="14" s="1"/>
  <c r="AB99" i="1"/>
  <c r="Z228" i="1"/>
  <c r="Z231" i="1" s="1"/>
  <c r="AB230" i="1"/>
  <c r="AH193" i="1"/>
  <c r="AH192" i="1"/>
  <c r="AH137" i="1"/>
  <c r="BA219" i="1"/>
  <c r="BC214" i="1"/>
  <c r="BA217" i="1"/>
  <c r="BC126" i="1"/>
  <c r="BA248" i="1"/>
  <c r="U37" i="4"/>
  <c r="U38" i="4" s="1"/>
  <c r="S14" i="4"/>
  <c r="S13" i="4" s="1"/>
  <c r="AB20" i="1"/>
  <c r="AD22" i="1"/>
  <c r="AB12" i="1"/>
  <c r="AD13" i="1"/>
  <c r="AY242" i="1"/>
  <c r="AK9" i="14" s="1"/>
  <c r="BA11" i="1"/>
  <c r="AY240" i="1"/>
  <c r="AK7" i="14" s="1"/>
  <c r="X217" i="1"/>
  <c r="AW240" i="1"/>
  <c r="AI7" i="14" s="1"/>
  <c r="O30" i="4"/>
  <c r="Z40" i="1"/>
  <c r="AB41" i="1"/>
  <c r="AB40" i="1" s="1"/>
  <c r="AB73" i="1"/>
  <c r="Z72" i="1"/>
  <c r="Z70" i="1"/>
  <c r="Z69" i="1" s="1"/>
  <c r="AB71" i="1"/>
  <c r="Z24" i="1"/>
  <c r="AB25" i="1"/>
  <c r="X179" i="1"/>
  <c r="X232" i="1"/>
  <c r="Z105" i="1"/>
  <c r="Z100" i="1" s="1"/>
  <c r="Z244" i="1" s="1"/>
  <c r="L11" i="14" s="1"/>
  <c r="Z175" i="1"/>
  <c r="Z248" i="1"/>
  <c r="Z235" i="1"/>
  <c r="X8" i="1"/>
  <c r="X239" i="1" s="1"/>
  <c r="J6" i="14" s="1"/>
  <c r="X57" i="1"/>
  <c r="X53" i="1" s="1"/>
  <c r="AU249" i="1"/>
  <c r="J19" i="14"/>
  <c r="AG19" i="14" s="1"/>
  <c r="AU127" i="1"/>
  <c r="AU124" i="1" s="1"/>
  <c r="AU123" i="1" s="1"/>
  <c r="AU247" i="1" s="1"/>
  <c r="AG18" i="14" s="1"/>
  <c r="AU235" i="1"/>
  <c r="V243" i="1"/>
  <c r="V130" i="1"/>
  <c r="AD21" i="14"/>
  <c r="AR255" i="1"/>
  <c r="AD24" i="14" s="1"/>
  <c r="AD16" i="14"/>
  <c r="AD14" i="14"/>
  <c r="AK11" i="2"/>
  <c r="AB11" i="2"/>
  <c r="C20" i="4"/>
  <c r="E20" i="4" s="1"/>
  <c r="AD59" i="1" l="1"/>
  <c r="AD58" i="1" s="1"/>
  <c r="AD76" i="1"/>
  <c r="AB75" i="1"/>
  <c r="AD80" i="1"/>
  <c r="AB79" i="1"/>
  <c r="G20" i="4"/>
  <c r="G27" i="4" s="1"/>
  <c r="AQ16" i="1" s="1"/>
  <c r="E27" i="4"/>
  <c r="Z232" i="1"/>
  <c r="O56" i="4"/>
  <c r="Q54" i="4"/>
  <c r="AB235" i="1"/>
  <c r="O49" i="4"/>
  <c r="S9" i="4"/>
  <c r="Z217" i="1"/>
  <c r="Q29" i="4"/>
  <c r="O35" i="4"/>
  <c r="AY14" i="1" s="1"/>
  <c r="BC219" i="1"/>
  <c r="BE214" i="1"/>
  <c r="BE219" i="1" s="1"/>
  <c r="BC194" i="1"/>
  <c r="BE189" i="1"/>
  <c r="BC192" i="1"/>
  <c r="BC143" i="1"/>
  <c r="BE138" i="1"/>
  <c r="BC141" i="1"/>
  <c r="AD99" i="1"/>
  <c r="AB98" i="1"/>
  <c r="AB97" i="1" s="1"/>
  <c r="AB243" i="1" s="1"/>
  <c r="N10" i="14" s="1"/>
  <c r="AF177" i="1"/>
  <c r="AD175" i="1"/>
  <c r="BE229" i="1"/>
  <c r="BC233" i="1"/>
  <c r="BC231" i="1"/>
  <c r="BE218" i="1"/>
  <c r="AB213" i="1"/>
  <c r="AD215" i="1"/>
  <c r="BE126" i="1"/>
  <c r="BC248" i="1"/>
  <c r="AH141" i="1"/>
  <c r="AH142" i="1"/>
  <c r="AB179" i="1"/>
  <c r="AB180" i="1"/>
  <c r="AF115" i="1"/>
  <c r="AD114" i="1"/>
  <c r="AD113" i="1" s="1"/>
  <c r="AD245" i="1" s="1"/>
  <c r="P12" i="14" s="1"/>
  <c r="AF106" i="1"/>
  <c r="AD105" i="1"/>
  <c r="AD100" i="1" s="1"/>
  <c r="AD244" i="1" s="1"/>
  <c r="P11" i="14" s="1"/>
  <c r="AB228" i="1"/>
  <c r="AD230" i="1"/>
  <c r="AB248" i="1"/>
  <c r="BC217" i="1"/>
  <c r="BE176" i="1"/>
  <c r="BC181" i="1"/>
  <c r="BC179" i="1"/>
  <c r="AD223" i="1"/>
  <c r="AB233" i="1"/>
  <c r="U14" i="4"/>
  <c r="U13" i="4" s="1"/>
  <c r="Q30" i="4"/>
  <c r="AD12" i="1"/>
  <c r="AF13" i="1"/>
  <c r="AD20" i="1"/>
  <c r="AF22" i="1"/>
  <c r="BA242" i="1"/>
  <c r="AM9" i="14" s="1"/>
  <c r="BC11" i="1"/>
  <c r="AD57" i="1"/>
  <c r="AD53" i="1" s="1"/>
  <c r="AF59" i="1"/>
  <c r="AF58" i="1" s="1"/>
  <c r="BA240" i="1"/>
  <c r="BC9" i="1"/>
  <c r="AD25" i="1"/>
  <c r="AB24" i="1"/>
  <c r="AB9" i="1" s="1"/>
  <c r="AB8" i="1" s="1"/>
  <c r="AD41" i="1"/>
  <c r="AB70" i="1"/>
  <c r="AB69" i="1" s="1"/>
  <c r="AD71" i="1"/>
  <c r="AB57" i="1"/>
  <c r="AB53" i="1" s="1"/>
  <c r="AB72" i="1"/>
  <c r="AD73" i="1"/>
  <c r="Z240" i="1"/>
  <c r="L7" i="14" s="1"/>
  <c r="Z130" i="1"/>
  <c r="AW127" i="1"/>
  <c r="AW124" i="1" s="1"/>
  <c r="AW123" i="1" s="1"/>
  <c r="AW247" i="1" s="1"/>
  <c r="AI18" i="14" s="1"/>
  <c r="L19" i="14"/>
  <c r="AI19" i="14" s="1"/>
  <c r="AW235" i="1"/>
  <c r="AW249" i="1"/>
  <c r="Z179" i="1"/>
  <c r="Z180" i="1"/>
  <c r="X130" i="1"/>
  <c r="X240" i="1"/>
  <c r="H10" i="14"/>
  <c r="V253" i="1"/>
  <c r="H22" i="14" s="1"/>
  <c r="AD15" i="14"/>
  <c r="AD20" i="14"/>
  <c r="AD26" i="14" s="1"/>
  <c r="AD27" i="14" s="1"/>
  <c r="I20" i="4"/>
  <c r="I27" i="4" s="1"/>
  <c r="B17" i="61"/>
  <c r="B19" i="61" s="1"/>
  <c r="D14" i="61"/>
  <c r="D17" i="61" s="1"/>
  <c r="D19" i="61" s="1"/>
  <c r="AF80" i="1" l="1"/>
  <c r="AD79" i="1"/>
  <c r="AF76" i="1"/>
  <c r="AD75" i="1"/>
  <c r="Q56" i="4"/>
  <c r="S54" i="4"/>
  <c r="Q49" i="4"/>
  <c r="Q35" i="4"/>
  <c r="BA14" i="1" s="1"/>
  <c r="S29" i="4"/>
  <c r="U9" i="4"/>
  <c r="BE217" i="1"/>
  <c r="AF223" i="1"/>
  <c r="AD233" i="1"/>
  <c r="AB217" i="1"/>
  <c r="AB218" i="1"/>
  <c r="AD179" i="1"/>
  <c r="AD180" i="1"/>
  <c r="BE194" i="1"/>
  <c r="BE192" i="1"/>
  <c r="AF57" i="1"/>
  <c r="AF53" i="1" s="1"/>
  <c r="AH59" i="1"/>
  <c r="AF20" i="1"/>
  <c r="AH22" i="1"/>
  <c r="AH20" i="1" s="1"/>
  <c r="AY235" i="1"/>
  <c r="N19" i="14"/>
  <c r="AK19" i="14" s="1"/>
  <c r="AY249" i="1"/>
  <c r="AY127" i="1"/>
  <c r="AY124" i="1" s="1"/>
  <c r="AY123" i="1" s="1"/>
  <c r="AY247" i="1" s="1"/>
  <c r="AK18" i="14" s="1"/>
  <c r="AH106" i="1"/>
  <c r="AH105" i="1" s="1"/>
  <c r="AH100" i="1" s="1"/>
  <c r="AH244" i="1" s="1"/>
  <c r="T11" i="14" s="1"/>
  <c r="AF105" i="1"/>
  <c r="AF100" i="1" s="1"/>
  <c r="AF244" i="1" s="1"/>
  <c r="R11" i="14" s="1"/>
  <c r="BE233" i="1"/>
  <c r="BE231" i="1"/>
  <c r="AH177" i="1"/>
  <c r="AF175" i="1"/>
  <c r="BE143" i="1"/>
  <c r="BE141" i="1"/>
  <c r="AD228" i="1"/>
  <c r="AF230" i="1"/>
  <c r="BE248" i="1"/>
  <c r="AD235" i="1"/>
  <c r="AF12" i="1"/>
  <c r="AH13" i="1"/>
  <c r="AH12" i="1" s="1"/>
  <c r="BE181" i="1"/>
  <c r="BE179" i="1"/>
  <c r="AB232" i="1"/>
  <c r="AB231" i="1"/>
  <c r="AH115" i="1"/>
  <c r="AF114" i="1"/>
  <c r="AF113" i="1" s="1"/>
  <c r="AF245" i="1" s="1"/>
  <c r="R12" i="14" s="1"/>
  <c r="AF215" i="1"/>
  <c r="AD213" i="1"/>
  <c r="AD248" i="1"/>
  <c r="AF99" i="1"/>
  <c r="AD98" i="1"/>
  <c r="AD97" i="1" s="1"/>
  <c r="AD243" i="1" s="1"/>
  <c r="P10" i="14" s="1"/>
  <c r="BC242" i="1"/>
  <c r="AO9" i="14" s="1"/>
  <c r="BE11" i="1"/>
  <c r="BE242" i="1" s="1"/>
  <c r="AQ9" i="14" s="1"/>
  <c r="S30" i="4"/>
  <c r="BC240" i="1"/>
  <c r="AO7" i="14" s="1"/>
  <c r="BE240" i="1"/>
  <c r="AQ7" i="14" s="1"/>
  <c r="AD72" i="1"/>
  <c r="AF73" i="1"/>
  <c r="AD70" i="1"/>
  <c r="AD69" i="1" s="1"/>
  <c r="AF71" i="1"/>
  <c r="AD24" i="1"/>
  <c r="AD9" i="1" s="1"/>
  <c r="AF25" i="1"/>
  <c r="AD40" i="1"/>
  <c r="AF41" i="1"/>
  <c r="AB240" i="1"/>
  <c r="AB130" i="1"/>
  <c r="AB239" i="1"/>
  <c r="N6" i="14" s="1"/>
  <c r="AD240" i="1"/>
  <c r="Z253" i="1"/>
  <c r="L22" i="14" s="1"/>
  <c r="J7" i="14"/>
  <c r="X253" i="1"/>
  <c r="J22" i="14" s="1"/>
  <c r="AS16" i="1"/>
  <c r="K20" i="4"/>
  <c r="K27" i="4" s="1"/>
  <c r="AH114" i="1" l="1"/>
  <c r="AH113" i="1" s="1"/>
  <c r="AH245" i="1" s="1"/>
  <c r="T12" i="14" s="1"/>
  <c r="AH58" i="1"/>
  <c r="AH57" i="1" s="1"/>
  <c r="AH53" i="1" s="1"/>
  <c r="AH76" i="1"/>
  <c r="AH75" i="1" s="1"/>
  <c r="AF75" i="1"/>
  <c r="AH80" i="1"/>
  <c r="AH79" i="1" s="1"/>
  <c r="AF79" i="1"/>
  <c r="S56" i="4"/>
  <c r="U54" i="4"/>
  <c r="U56" i="4" s="1"/>
  <c r="U49" i="4"/>
  <c r="S49" i="4"/>
  <c r="S35" i="4"/>
  <c r="BC14" i="1" s="1"/>
  <c r="BE14" i="1" s="1"/>
  <c r="U29" i="4"/>
  <c r="AF213" i="1"/>
  <c r="AH215" i="1"/>
  <c r="AH213" i="1" s="1"/>
  <c r="AH230" i="1"/>
  <c r="AH228" i="1" s="1"/>
  <c r="AF228" i="1"/>
  <c r="AF235" i="1"/>
  <c r="AF40" i="1"/>
  <c r="AH41" i="1"/>
  <c r="AH40" i="1" s="1"/>
  <c r="AH99" i="1"/>
  <c r="AH98" i="1" s="1"/>
  <c r="AH97" i="1" s="1"/>
  <c r="AH243" i="1" s="1"/>
  <c r="T10" i="14" s="1"/>
  <c r="AF98" i="1"/>
  <c r="AF97" i="1" s="1"/>
  <c r="AF243" i="1" s="1"/>
  <c r="R10" i="14" s="1"/>
  <c r="AD231" i="1"/>
  <c r="AD232" i="1"/>
  <c r="AF248" i="1"/>
  <c r="AF180" i="1"/>
  <c r="AF179" i="1"/>
  <c r="AF70" i="1"/>
  <c r="AF69" i="1" s="1"/>
  <c r="AH71" i="1"/>
  <c r="AH70" i="1" s="1"/>
  <c r="AH69" i="1" s="1"/>
  <c r="AF24" i="1"/>
  <c r="AF9" i="1" s="1"/>
  <c r="AH25" i="1"/>
  <c r="AF72" i="1"/>
  <c r="AH73" i="1"/>
  <c r="AH72" i="1" s="1"/>
  <c r="BA127" i="1"/>
  <c r="BA124" i="1" s="1"/>
  <c r="BA123" i="1" s="1"/>
  <c r="BA247" i="1" s="1"/>
  <c r="AM18" i="14" s="1"/>
  <c r="BA249" i="1"/>
  <c r="P19" i="14"/>
  <c r="AM19" i="14" s="1"/>
  <c r="BA235" i="1"/>
  <c r="AD130" i="1"/>
  <c r="AD8" i="1"/>
  <c r="AD239" i="1" s="1"/>
  <c r="P6" i="14" s="1"/>
  <c r="AD218" i="1"/>
  <c r="AD217" i="1"/>
  <c r="AH175" i="1"/>
  <c r="AF233" i="1"/>
  <c r="AH223" i="1"/>
  <c r="AH233" i="1" s="1"/>
  <c r="AF240" i="1"/>
  <c r="U30" i="4"/>
  <c r="AD253" i="1"/>
  <c r="P22" i="14" s="1"/>
  <c r="P7" i="14"/>
  <c r="N7" i="14"/>
  <c r="AB253" i="1"/>
  <c r="N22" i="14" s="1"/>
  <c r="AU16" i="1"/>
  <c r="M20" i="4"/>
  <c r="M27" i="4" s="1"/>
  <c r="B27" i="60"/>
  <c r="E20" i="60"/>
  <c r="D20" i="60"/>
  <c r="C20" i="60"/>
  <c r="B20" i="60"/>
  <c r="C12" i="60"/>
  <c r="B19" i="59"/>
  <c r="D15" i="59"/>
  <c r="D19" i="59" s="1"/>
  <c r="B17" i="58"/>
  <c r="D13" i="58"/>
  <c r="D17" i="58" s="1"/>
  <c r="D16" i="55"/>
  <c r="D18" i="55" s="1"/>
  <c r="B16" i="55"/>
  <c r="B18" i="55" s="1"/>
  <c r="D13" i="55"/>
  <c r="D15" i="54"/>
  <c r="D17" i="54" s="1"/>
  <c r="B15" i="54"/>
  <c r="B17" i="54" s="1"/>
  <c r="D12" i="54"/>
  <c r="D16" i="53"/>
  <c r="D18" i="53" s="1"/>
  <c r="B16" i="53"/>
  <c r="B18" i="53" s="1"/>
  <c r="D13" i="53"/>
  <c r="D16" i="52"/>
  <c r="D20" i="52" s="1"/>
  <c r="B16" i="52"/>
  <c r="B20" i="52" s="1"/>
  <c r="B16" i="50"/>
  <c r="B18" i="50" s="1"/>
  <c r="D13" i="50"/>
  <c r="D16" i="50" s="1"/>
  <c r="D18" i="50" s="1"/>
  <c r="AH74" i="1" l="1"/>
  <c r="AH24" i="1"/>
  <c r="AH9" i="1" s="1"/>
  <c r="AH8" i="1" s="1"/>
  <c r="AH239" i="1" s="1"/>
  <c r="T6" i="14" s="1"/>
  <c r="AH235" i="1"/>
  <c r="AH248" i="1"/>
  <c r="BE235" i="1" s="1"/>
  <c r="AF8" i="1"/>
  <c r="AF239" i="1" s="1"/>
  <c r="R6" i="14" s="1"/>
  <c r="U35" i="4"/>
  <c r="AF130" i="1"/>
  <c r="AF253" i="1"/>
  <c r="R22" i="14" s="1"/>
  <c r="AH130" i="1"/>
  <c r="R19" i="14"/>
  <c r="AO19" i="14" s="1"/>
  <c r="BC235" i="1"/>
  <c r="BC249" i="1"/>
  <c r="BC127" i="1"/>
  <c r="BC124" i="1" s="1"/>
  <c r="BC123" i="1" s="1"/>
  <c r="BC247" i="1" s="1"/>
  <c r="AO18" i="14" s="1"/>
  <c r="AF232" i="1"/>
  <c r="AF231" i="1"/>
  <c r="AH240" i="1"/>
  <c r="AH231" i="1"/>
  <c r="AH232" i="1"/>
  <c r="AH179" i="1"/>
  <c r="AH180" i="1"/>
  <c r="R7" i="14"/>
  <c r="AH217" i="1"/>
  <c r="AH218" i="1"/>
  <c r="T19" i="14"/>
  <c r="AQ19" i="14" s="1"/>
  <c r="AF217" i="1"/>
  <c r="AF218" i="1"/>
  <c r="O20" i="4"/>
  <c r="O27" i="4" s="1"/>
  <c r="AW16" i="1"/>
  <c r="B16" i="49"/>
  <c r="B18" i="49" s="1"/>
  <c r="D13" i="49"/>
  <c r="D16" i="49" s="1"/>
  <c r="D18" i="49" s="1"/>
  <c r="BE127" i="1" l="1"/>
  <c r="BE124" i="1" s="1"/>
  <c r="BE123" i="1" s="1"/>
  <c r="BE247" i="1" s="1"/>
  <c r="AQ18" i="14" s="1"/>
  <c r="BE249" i="1"/>
  <c r="T7" i="14"/>
  <c r="AH253" i="1"/>
  <c r="T22" i="14" s="1"/>
  <c r="AY16" i="1"/>
  <c r="Q20" i="4"/>
  <c r="Q27" i="4" s="1"/>
  <c r="B15" i="47"/>
  <c r="B17" i="47" s="1"/>
  <c r="D12" i="47"/>
  <c r="D15" i="47" s="1"/>
  <c r="D17" i="47" s="1"/>
  <c r="S20" i="4" l="1"/>
  <c r="S27" i="4" s="1"/>
  <c r="BA16" i="1"/>
  <c r="B27" i="44"/>
  <c r="V17" i="44"/>
  <c r="U20" i="4" l="1"/>
  <c r="U27" i="4" s="1"/>
  <c r="BC16" i="1"/>
  <c r="S10" i="44"/>
  <c r="C27" i="44" l="1"/>
  <c r="D27" i="44"/>
  <c r="E27" i="44"/>
  <c r="F27" i="44"/>
  <c r="I27" i="44"/>
  <c r="J27" i="44"/>
  <c r="K27" i="44"/>
  <c r="L27" i="44"/>
  <c r="Z26" i="44" l="1"/>
  <c r="U26" i="44"/>
  <c r="M26" i="44"/>
  <c r="Z25" i="44"/>
  <c r="U25" i="44"/>
  <c r="M25" i="44"/>
  <c r="Z24" i="44"/>
  <c r="U24" i="44"/>
  <c r="M24" i="44"/>
  <c r="Z23" i="44"/>
  <c r="U23" i="44"/>
  <c r="M23" i="44"/>
  <c r="Z22" i="44"/>
  <c r="U22" i="44"/>
  <c r="M22" i="44"/>
  <c r="Z21" i="44"/>
  <c r="U21" i="44"/>
  <c r="M21" i="44"/>
  <c r="Z20" i="44"/>
  <c r="U20" i="44"/>
  <c r="M20" i="44"/>
  <c r="Z19" i="44"/>
  <c r="U19" i="44"/>
  <c r="M19" i="44"/>
  <c r="Y18" i="44"/>
  <c r="W18" i="44"/>
  <c r="V18" i="44"/>
  <c r="T18" i="44"/>
  <c r="S18" i="44"/>
  <c r="R18" i="44"/>
  <c r="Q18" i="44"/>
  <c r="P18" i="44"/>
  <c r="O18" i="44"/>
  <c r="M18" i="44"/>
  <c r="H18" i="44"/>
  <c r="Z17" i="44"/>
  <c r="AA17" i="44" s="1"/>
  <c r="U17" i="44"/>
  <c r="Y16" i="44"/>
  <c r="X16" i="44"/>
  <c r="W16" i="44"/>
  <c r="V16" i="44"/>
  <c r="T16" i="44"/>
  <c r="S16" i="44"/>
  <c r="R16" i="44"/>
  <c r="Q16" i="44"/>
  <c r="P16" i="44"/>
  <c r="O16" i="44"/>
  <c r="M16" i="44"/>
  <c r="H16" i="44"/>
  <c r="Z15" i="44"/>
  <c r="U15" i="44"/>
  <c r="M15" i="44"/>
  <c r="H15" i="44"/>
  <c r="M14" i="44"/>
  <c r="AA14" i="44" s="1"/>
  <c r="H14" i="44"/>
  <c r="Z13" i="44"/>
  <c r="U13" i="44"/>
  <c r="Z12" i="44"/>
  <c r="U12" i="44"/>
  <c r="Z11" i="44"/>
  <c r="U11" i="44"/>
  <c r="M11" i="44"/>
  <c r="H11" i="44"/>
  <c r="Y10" i="44"/>
  <c r="X10" i="44"/>
  <c r="W10" i="44"/>
  <c r="V10" i="44"/>
  <c r="T10" i="44"/>
  <c r="R10" i="44"/>
  <c r="Q10" i="44"/>
  <c r="P10" i="44"/>
  <c r="O10" i="44"/>
  <c r="M10" i="44"/>
  <c r="H10" i="44"/>
  <c r="G10" i="44"/>
  <c r="Z9" i="44"/>
  <c r="M9" i="44"/>
  <c r="H9" i="44"/>
  <c r="Z8" i="44"/>
  <c r="U8" i="44"/>
  <c r="M8" i="44"/>
  <c r="H8" i="44"/>
  <c r="Z7" i="44"/>
  <c r="U7" i="44"/>
  <c r="M7" i="44"/>
  <c r="H7" i="44"/>
  <c r="U6" i="44"/>
  <c r="M6" i="44"/>
  <c r="AA6" i="44" s="1"/>
  <c r="H6" i="44"/>
  <c r="Y27" i="44" l="1"/>
  <c r="T27" i="44"/>
  <c r="S27" i="44"/>
  <c r="P27" i="44"/>
  <c r="Q27" i="44"/>
  <c r="D29" i="44" s="1"/>
  <c r="AA9" i="44"/>
  <c r="AA8" i="44"/>
  <c r="W27" i="44"/>
  <c r="J29" i="44" s="1"/>
  <c r="AA23" i="44"/>
  <c r="AA7" i="44"/>
  <c r="R27" i="44"/>
  <c r="E29" i="44" s="1"/>
  <c r="O27" i="44"/>
  <c r="B29" i="44" s="1"/>
  <c r="G27" i="44"/>
  <c r="AA15" i="44"/>
  <c r="AA22" i="44"/>
  <c r="AA26" i="44"/>
  <c r="V27" i="44"/>
  <c r="I29" i="44" s="1"/>
  <c r="M27" i="44"/>
  <c r="H27" i="44"/>
  <c r="AA21" i="44"/>
  <c r="AA25" i="44"/>
  <c r="U16" i="44"/>
  <c r="U18" i="44"/>
  <c r="AA20" i="44"/>
  <c r="AA24" i="44"/>
  <c r="Z10" i="44"/>
  <c r="AA10" i="44" s="1"/>
  <c r="F29" i="44"/>
  <c r="U10" i="44"/>
  <c r="L29" i="44"/>
  <c r="Z18" i="44"/>
  <c r="AA18" i="44" s="1"/>
  <c r="AA19" i="44"/>
  <c r="Z16" i="44"/>
  <c r="AA16" i="44" s="1"/>
  <c r="X18" i="44"/>
  <c r="X27" i="44" s="1"/>
  <c r="G29" i="44" l="1"/>
  <c r="U27" i="44"/>
  <c r="H29" i="44" s="1"/>
  <c r="Z27" i="44"/>
  <c r="M29" i="44" s="1"/>
  <c r="AA27" i="44"/>
  <c r="K29" i="44"/>
  <c r="C29" i="44"/>
  <c r="AM17" i="1" l="1"/>
  <c r="AO17" i="1" s="1"/>
  <c r="AQ17" i="1" s="1"/>
  <c r="AS17" i="1" s="1"/>
  <c r="AU17" i="1" s="1"/>
  <c r="AW17" i="1" s="1"/>
  <c r="AY17" i="1" s="1"/>
  <c r="BA17" i="1" s="1"/>
  <c r="BC17" i="1" s="1"/>
  <c r="BE12" i="1" s="1"/>
  <c r="BE243" i="1" s="1"/>
  <c r="AQ10" i="14" s="1"/>
  <c r="P90" i="1" l="1"/>
  <c r="R90" i="1" s="1"/>
  <c r="T90" i="1" s="1"/>
  <c r="V90" i="1" s="1"/>
  <c r="X90" i="1" s="1"/>
  <c r="Z90" i="1" s="1"/>
  <c r="AB90" i="1" s="1"/>
  <c r="AD90" i="1" s="1"/>
  <c r="AF90" i="1" s="1"/>
  <c r="AH90" i="1" s="1"/>
  <c r="C35" i="4" l="1"/>
  <c r="P127" i="1" l="1"/>
  <c r="R127" i="1" s="1"/>
  <c r="R126" i="1" l="1"/>
  <c r="R123" i="1" s="1"/>
  <c r="T127" i="1"/>
  <c r="P15" i="17"/>
  <c r="T126" i="1" l="1"/>
  <c r="T123" i="1" s="1"/>
  <c r="V127" i="1"/>
  <c r="AO240" i="1"/>
  <c r="AA7" i="14" s="1"/>
  <c r="P92" i="1"/>
  <c r="R92" i="1" s="1"/>
  <c r="R91" i="1" s="1"/>
  <c r="Q47" i="2"/>
  <c r="U47" i="2" s="1"/>
  <c r="Q46" i="2"/>
  <c r="U46" i="2" s="1"/>
  <c r="Q45" i="2"/>
  <c r="Q48" i="2"/>
  <c r="U48" i="2" s="1"/>
  <c r="Q70" i="2"/>
  <c r="U70" i="2" s="1"/>
  <c r="Q69" i="2"/>
  <c r="U69" i="2" s="1"/>
  <c r="Q68" i="2"/>
  <c r="U68" i="2" s="1"/>
  <c r="Q57" i="2"/>
  <c r="Q49" i="2" s="1"/>
  <c r="Q36" i="2"/>
  <c r="Q34" i="2" s="1"/>
  <c r="Q15" i="2"/>
  <c r="U15" i="2" s="1"/>
  <c r="Q7" i="2"/>
  <c r="Q44" i="2" l="1"/>
  <c r="V126" i="1"/>
  <c r="V247" i="1" s="1"/>
  <c r="X127" i="1"/>
  <c r="AQ240" i="1"/>
  <c r="AC7" i="14" s="1"/>
  <c r="U7" i="2"/>
  <c r="Z68" i="2"/>
  <c r="AK68" i="2" s="1"/>
  <c r="AI68" i="2"/>
  <c r="U45" i="2"/>
  <c r="U44" i="2" s="1"/>
  <c r="Z15" i="2"/>
  <c r="AI15" i="2"/>
  <c r="Z69" i="2"/>
  <c r="AI69" i="2"/>
  <c r="AI46" i="2"/>
  <c r="Z46" i="2"/>
  <c r="U36" i="2"/>
  <c r="U34" i="2" s="1"/>
  <c r="Z70" i="2"/>
  <c r="AI70" i="2"/>
  <c r="Z47" i="2"/>
  <c r="AI47" i="2"/>
  <c r="U57" i="2"/>
  <c r="U49" i="2" s="1"/>
  <c r="AI48" i="2"/>
  <c r="Z48" i="2"/>
  <c r="T92" i="1"/>
  <c r="AK69" i="2" l="1"/>
  <c r="AB69" i="2"/>
  <c r="AK70" i="2"/>
  <c r="AB70" i="2"/>
  <c r="V123" i="1"/>
  <c r="V246" i="1" s="1"/>
  <c r="H18" i="14" s="1"/>
  <c r="X126" i="1"/>
  <c r="X247" i="1" s="1"/>
  <c r="Z127" i="1"/>
  <c r="V92" i="1"/>
  <c r="T91" i="1"/>
  <c r="AK48" i="2"/>
  <c r="AB48" i="2"/>
  <c r="AK46" i="2"/>
  <c r="AB46" i="2"/>
  <c r="AK47" i="2"/>
  <c r="AB47" i="2"/>
  <c r="AS240" i="1"/>
  <c r="AE7" i="14" s="1"/>
  <c r="AK15" i="2"/>
  <c r="Z57" i="2"/>
  <c r="Z49" i="2" s="1"/>
  <c r="AI57" i="2"/>
  <c r="AI49" i="2" s="1"/>
  <c r="Z36" i="2"/>
  <c r="Z34" i="2" s="1"/>
  <c r="Z45" i="2"/>
  <c r="Z44" i="2" s="1"/>
  <c r="AI45" i="2"/>
  <c r="AI44" i="2" s="1"/>
  <c r="AI7" i="2"/>
  <c r="Z7" i="2"/>
  <c r="B22" i="2"/>
  <c r="D22" i="2" s="1"/>
  <c r="X123" i="1" l="1"/>
  <c r="X246" i="1" s="1"/>
  <c r="J18" i="14" s="1"/>
  <c r="Z126" i="1"/>
  <c r="Z123" i="1" s="1"/>
  <c r="Z246" i="1" s="1"/>
  <c r="L18" i="14" s="1"/>
  <c r="AB127" i="1"/>
  <c r="X92" i="1"/>
  <c r="V91" i="1"/>
  <c r="AU240" i="1"/>
  <c r="AG7" i="14" s="1"/>
  <c r="AB57" i="2"/>
  <c r="AB49" i="2" s="1"/>
  <c r="AB45" i="2"/>
  <c r="AB44" i="2" s="1"/>
  <c r="AK7" i="2"/>
  <c r="AB7" i="2"/>
  <c r="AI22" i="2"/>
  <c r="AK36" i="2"/>
  <c r="AK45" i="2"/>
  <c r="AK44" i="2" s="1"/>
  <c r="AK57" i="2"/>
  <c r="AK49" i="2" s="1"/>
  <c r="Z247" i="1" l="1"/>
  <c r="AD127" i="1"/>
  <c r="AB126" i="1"/>
  <c r="X91" i="1"/>
  <c r="Z92" i="1"/>
  <c r="AK22" i="2"/>
  <c r="B79" i="1"/>
  <c r="D79" i="1"/>
  <c r="F79" i="1"/>
  <c r="H79" i="1"/>
  <c r="J79" i="1"/>
  <c r="L79" i="1"/>
  <c r="N79" i="1"/>
  <c r="P79" i="1"/>
  <c r="AB247" i="1" l="1"/>
  <c r="AB123" i="1"/>
  <c r="AB246" i="1" s="1"/>
  <c r="N18" i="14" s="1"/>
  <c r="AF127" i="1"/>
  <c r="AD126" i="1"/>
  <c r="Z91" i="1"/>
  <c r="AB92" i="1"/>
  <c r="O22" i="2"/>
  <c r="T74" i="1"/>
  <c r="AD123" i="1" l="1"/>
  <c r="AD246" i="1" s="1"/>
  <c r="P18" i="14" s="1"/>
  <c r="AD247" i="1"/>
  <c r="AH127" i="1"/>
  <c r="AH126" i="1" s="1"/>
  <c r="AF126" i="1"/>
  <c r="AD92" i="1"/>
  <c r="AB91" i="1"/>
  <c r="V74" i="1"/>
  <c r="B42" i="2"/>
  <c r="D42" i="2" s="1"/>
  <c r="D34" i="2" s="1"/>
  <c r="AF123" i="1" l="1"/>
  <c r="AF246" i="1" s="1"/>
  <c r="R18" i="14" s="1"/>
  <c r="AF247" i="1"/>
  <c r="AH247" i="1"/>
  <c r="AH123" i="1"/>
  <c r="AH246" i="1" s="1"/>
  <c r="T18" i="14" s="1"/>
  <c r="AF92" i="1"/>
  <c r="AD91" i="1"/>
  <c r="X74" i="1"/>
  <c r="K42" i="2"/>
  <c r="B13" i="2"/>
  <c r="D13" i="2" s="1"/>
  <c r="D6" i="2" s="1"/>
  <c r="D72" i="2" s="1"/>
  <c r="D92" i="2" s="1"/>
  <c r="Q9" i="2"/>
  <c r="Q6" i="2" s="1"/>
  <c r="K34" i="2" l="1"/>
  <c r="K72" i="2" s="1"/>
  <c r="K92" i="2" s="1"/>
  <c r="AO8" i="1"/>
  <c r="AO239" i="1" s="1"/>
  <c r="AA6" i="14" s="1"/>
  <c r="AH92" i="1"/>
  <c r="AH91" i="1" s="1"/>
  <c r="AF91" i="1"/>
  <c r="O42" i="2"/>
  <c r="O34" i="2" s="1"/>
  <c r="Z74" i="1"/>
  <c r="O13" i="2"/>
  <c r="AI13" i="2"/>
  <c r="U9" i="2"/>
  <c r="U6" i="2" s="1"/>
  <c r="AK42" i="2"/>
  <c r="AK34" i="2" s="1"/>
  <c r="C13" i="4"/>
  <c r="C27" i="4" s="1"/>
  <c r="O6" i="2" l="1"/>
  <c r="O72" i="2" s="1"/>
  <c r="O92" i="2" s="1"/>
  <c r="U72" i="2"/>
  <c r="U92" i="2" s="1"/>
  <c r="AB74" i="1"/>
  <c r="Z9" i="2"/>
  <c r="AI9" i="2"/>
  <c r="AI6" i="2" s="1"/>
  <c r="AK13" i="2"/>
  <c r="P24" i="1"/>
  <c r="B32" i="41"/>
  <c r="B29" i="41"/>
  <c r="B33" i="41" s="1"/>
  <c r="Z6" i="2" l="1"/>
  <c r="Z72" i="2" s="1"/>
  <c r="Z92" i="2" s="1"/>
  <c r="AO10" i="1"/>
  <c r="AO241" i="1" s="1"/>
  <c r="AA8" i="14" s="1"/>
  <c r="AO16" i="1"/>
  <c r="AO12" i="1" s="1"/>
  <c r="AD74" i="1"/>
  <c r="AW8" i="1"/>
  <c r="AQ8" i="1"/>
  <c r="AB9" i="2"/>
  <c r="AK9" i="2"/>
  <c r="AK6" i="2" s="1"/>
  <c r="AB6" i="2" l="1"/>
  <c r="AB72" i="2" s="1"/>
  <c r="AB92" i="2" s="1"/>
  <c r="AK72" i="2"/>
  <c r="AK92" i="2" s="1"/>
  <c r="AF74" i="1"/>
  <c r="AM245" i="1"/>
  <c r="AO55" i="1"/>
  <c r="AO245" i="1" s="1"/>
  <c r="AA12" i="14" s="1"/>
  <c r="AQ10" i="1"/>
  <c r="AQ239" i="1"/>
  <c r="AC6" i="14" s="1"/>
  <c r="AS8" i="1"/>
  <c r="AQ12" i="1"/>
  <c r="AO243" i="1"/>
  <c r="AA10" i="14" s="1"/>
  <c r="AW10" i="1" l="1"/>
  <c r="AQ241" i="1"/>
  <c r="AC8" i="14" s="1"/>
  <c r="AS10" i="1"/>
  <c r="AQ129" i="1"/>
  <c r="AS12" i="1"/>
  <c r="AS243" i="1" s="1"/>
  <c r="AS239" i="1"/>
  <c r="AE6" i="14" s="1"/>
  <c r="BE8" i="1"/>
  <c r="AQ243" i="1"/>
  <c r="AC10" i="14" s="1"/>
  <c r="AO54" i="1"/>
  <c r="AO244" i="1" s="1"/>
  <c r="AM244" i="1"/>
  <c r="AG84" i="2"/>
  <c r="BE239" i="1" l="1"/>
  <c r="AQ6" i="14" s="1"/>
  <c r="BC239" i="1"/>
  <c r="BA239" i="1"/>
  <c r="AY239" i="1"/>
  <c r="AU12" i="1"/>
  <c r="AU243" i="1" s="1"/>
  <c r="AQ55" i="1"/>
  <c r="AQ245" i="1" s="1"/>
  <c r="AC12" i="14" s="1"/>
  <c r="AS55" i="1"/>
  <c r="AU55" i="1" s="1"/>
  <c r="AU241" i="1"/>
  <c r="AG8" i="14" s="1"/>
  <c r="AW239" i="1"/>
  <c r="AS241" i="1"/>
  <c r="AE8" i="14" s="1"/>
  <c r="AE10" i="14"/>
  <c r="AU239" i="1"/>
  <c r="AS129" i="1"/>
  <c r="AQ252" i="1"/>
  <c r="AC21" i="14" s="1"/>
  <c r="AO253" i="1"/>
  <c r="AA22" i="14" s="1"/>
  <c r="AA11" i="14"/>
  <c r="AA14" i="14" s="1"/>
  <c r="AO122" i="1"/>
  <c r="AO130" i="1"/>
  <c r="P88" i="1"/>
  <c r="R88" i="1" s="1"/>
  <c r="P82" i="1"/>
  <c r="R82" i="1" s="1"/>
  <c r="T82" i="1" s="1"/>
  <c r="AW55" i="1" l="1"/>
  <c r="AO6" i="14"/>
  <c r="AW12" i="1"/>
  <c r="AW129" i="1" s="1"/>
  <c r="AW241" i="1"/>
  <c r="AI8" i="14" s="1"/>
  <c r="BE10" i="1"/>
  <c r="AU129" i="1"/>
  <c r="AS245" i="1"/>
  <c r="AE12" i="14" s="1"/>
  <c r="AI6" i="14"/>
  <c r="AS252" i="1"/>
  <c r="AE21" i="14" s="1"/>
  <c r="AU252" i="1"/>
  <c r="AQ54" i="1"/>
  <c r="AS54" i="1" s="1"/>
  <c r="AS122" i="1" s="1"/>
  <c r="AS128" i="1" s="1"/>
  <c r="AS234" i="1" s="1"/>
  <c r="AS236" i="1" s="1"/>
  <c r="AG10" i="14"/>
  <c r="AU245" i="1"/>
  <c r="AG6" i="14"/>
  <c r="V82" i="1"/>
  <c r="X82" i="1" s="1"/>
  <c r="Z82" i="1" s="1"/>
  <c r="AB82" i="1" s="1"/>
  <c r="AD82" i="1" s="1"/>
  <c r="AF82" i="1" s="1"/>
  <c r="AH82" i="1" s="1"/>
  <c r="R87" i="1"/>
  <c r="T88" i="1"/>
  <c r="AA17" i="14"/>
  <c r="AO256" i="1"/>
  <c r="AA25" i="14" s="1"/>
  <c r="BE241" i="1" l="1"/>
  <c r="AQ8" i="14" s="1"/>
  <c r="BE129" i="1"/>
  <c r="AY55" i="1"/>
  <c r="AW245" i="1"/>
  <c r="AI12" i="14" s="1"/>
  <c r="BC241" i="1"/>
  <c r="AY12" i="1"/>
  <c r="AY243" i="1" s="1"/>
  <c r="AK10" i="14" s="1"/>
  <c r="BA241" i="1"/>
  <c r="AW243" i="1"/>
  <c r="AY241" i="1"/>
  <c r="AK8" i="14" s="1"/>
  <c r="AQ244" i="1"/>
  <c r="AQ250" i="1" s="1"/>
  <c r="AQ130" i="1"/>
  <c r="AQ122" i="1"/>
  <c r="AQ128" i="1" s="1"/>
  <c r="AQ234" i="1" s="1"/>
  <c r="AQ236" i="1" s="1"/>
  <c r="AS130" i="1"/>
  <c r="AS244" i="1"/>
  <c r="AS253" i="1" s="1"/>
  <c r="AE22" i="14" s="1"/>
  <c r="AG12" i="14"/>
  <c r="AG21" i="14"/>
  <c r="T87" i="1"/>
  <c r="V88" i="1"/>
  <c r="H33" i="2"/>
  <c r="B33" i="2"/>
  <c r="Q32" i="2"/>
  <c r="H32" i="2"/>
  <c r="B32" i="2"/>
  <c r="Q31" i="2"/>
  <c r="H31" i="2"/>
  <c r="B31" i="2"/>
  <c r="Q30" i="2"/>
  <c r="AP11" i="1"/>
  <c r="Q29" i="2" l="1"/>
  <c r="Q72" i="2"/>
  <c r="Q92" i="2" s="1"/>
  <c r="BE252" i="1"/>
  <c r="AQ21" i="14" s="1"/>
  <c r="BA12" i="1"/>
  <c r="BA129" i="1" s="1"/>
  <c r="BC12" i="1"/>
  <c r="BA55" i="1"/>
  <c r="AY245" i="1"/>
  <c r="AK12" i="14" s="1"/>
  <c r="AY129" i="1"/>
  <c r="AO8" i="14"/>
  <c r="AI10" i="14"/>
  <c r="AW252" i="1"/>
  <c r="AI21" i="14" s="1"/>
  <c r="AY252" i="1"/>
  <c r="AK21" i="14" s="1"/>
  <c r="AE11" i="14"/>
  <c r="AE17" i="14" s="1"/>
  <c r="AU244" i="1"/>
  <c r="AU250" i="1" s="1"/>
  <c r="AW54" i="1"/>
  <c r="AY54" i="1" s="1"/>
  <c r="BA54" i="1" s="1"/>
  <c r="BC54" i="1" s="1"/>
  <c r="AQ253" i="1"/>
  <c r="AC22" i="14" s="1"/>
  <c r="AC11" i="14"/>
  <c r="AC14" i="14" s="1"/>
  <c r="AC20" i="14" s="1"/>
  <c r="AC26" i="14" s="1"/>
  <c r="AS250" i="1"/>
  <c r="AU122" i="1"/>
  <c r="AU128" i="1" s="1"/>
  <c r="AU234" i="1" s="1"/>
  <c r="AU236" i="1" s="1"/>
  <c r="AU130" i="1"/>
  <c r="AE14" i="14"/>
  <c r="AE20" i="14" s="1"/>
  <c r="AE26" i="14" s="1"/>
  <c r="V87" i="1"/>
  <c r="X88" i="1"/>
  <c r="AP242" i="1"/>
  <c r="AP122" i="1"/>
  <c r="AP128" i="1" s="1"/>
  <c r="AP234" i="1" s="1"/>
  <c r="AP236" i="1" s="1"/>
  <c r="AP129" i="1"/>
  <c r="B30" i="2"/>
  <c r="AS256" i="1"/>
  <c r="AE25" i="14" s="1"/>
  <c r="H30" i="2"/>
  <c r="AM242" i="1"/>
  <c r="AG82" i="2"/>
  <c r="H29" i="2" l="1"/>
  <c r="H72" i="2" s="1"/>
  <c r="H92" i="2" s="1"/>
  <c r="BE244" i="1"/>
  <c r="AQ11" i="14" s="1"/>
  <c r="BA243" i="1"/>
  <c r="AM10" i="14" s="1"/>
  <c r="BC243" i="1"/>
  <c r="BC129" i="1"/>
  <c r="BA245" i="1"/>
  <c r="AM12" i="14" s="1"/>
  <c r="BC55" i="1"/>
  <c r="BC244" i="1"/>
  <c r="BA130" i="1"/>
  <c r="BA244" i="1"/>
  <c r="BA122" i="1"/>
  <c r="BA128" i="1" s="1"/>
  <c r="BA234" i="1" s="1"/>
  <c r="BA236" i="1" s="1"/>
  <c r="AY130" i="1"/>
  <c r="AY244" i="1"/>
  <c r="AY122" i="1"/>
  <c r="AY128" i="1" s="1"/>
  <c r="AY234" i="1" s="1"/>
  <c r="AY236" i="1" s="1"/>
  <c r="X87" i="1"/>
  <c r="Z88" i="1"/>
  <c r="AG11" i="14"/>
  <c r="AG14" i="14" s="1"/>
  <c r="AG20" i="14" s="1"/>
  <c r="AG26" i="14" s="1"/>
  <c r="AU253" i="1"/>
  <c r="AG22" i="14" s="1"/>
  <c r="AW130" i="1"/>
  <c r="AW244" i="1"/>
  <c r="AW122" i="1"/>
  <c r="AW128" i="1" s="1"/>
  <c r="AW234" i="1" s="1"/>
  <c r="AW236" i="1" s="1"/>
  <c r="AC17" i="14"/>
  <c r="AQ256" i="1"/>
  <c r="AC25" i="14" s="1"/>
  <c r="AB9" i="14"/>
  <c r="AP252" i="1"/>
  <c r="AB21" i="14" s="1"/>
  <c r="AP250" i="1"/>
  <c r="BA252" i="1" l="1"/>
  <c r="AM21" i="14" s="1"/>
  <c r="Z87" i="1"/>
  <c r="AB88" i="1"/>
  <c r="BC245" i="1"/>
  <c r="AO12" i="14" s="1"/>
  <c r="AO10" i="14"/>
  <c r="BC252" i="1"/>
  <c r="AO21" i="14" s="1"/>
  <c r="BC122" i="1"/>
  <c r="BC128" i="1" s="1"/>
  <c r="BC234" i="1" s="1"/>
  <c r="BC236" i="1" s="1"/>
  <c r="BC130" i="1"/>
  <c r="AO11" i="14"/>
  <c r="BA253" i="1"/>
  <c r="AM11" i="14"/>
  <c r="BA250" i="1"/>
  <c r="AY253" i="1"/>
  <c r="AK11" i="14"/>
  <c r="AY250" i="1"/>
  <c r="AG17" i="14"/>
  <c r="AU256" i="1"/>
  <c r="AG25" i="14" s="1"/>
  <c r="AW253" i="1"/>
  <c r="AI11" i="14"/>
  <c r="AW250" i="1"/>
  <c r="AB14" i="14"/>
  <c r="AB16" i="14"/>
  <c r="AG16" i="2"/>
  <c r="AD88" i="1" l="1"/>
  <c r="AB87" i="1"/>
  <c r="BC250" i="1"/>
  <c r="BC253" i="1"/>
  <c r="AO22" i="14" s="1"/>
  <c r="BE245" i="1"/>
  <c r="AQ12" i="14" s="1"/>
  <c r="BE130" i="1"/>
  <c r="BE122" i="1"/>
  <c r="BE128" i="1" s="1"/>
  <c r="BE234" i="1" s="1"/>
  <c r="BE236" i="1" s="1"/>
  <c r="AO17" i="14"/>
  <c r="AO14" i="14"/>
  <c r="AO20" i="14" s="1"/>
  <c r="AO26" i="14" s="1"/>
  <c r="AM17" i="14"/>
  <c r="AM14" i="14"/>
  <c r="AM20" i="14" s="1"/>
  <c r="AM26" i="14" s="1"/>
  <c r="BA256" i="1"/>
  <c r="AM25" i="14" s="1"/>
  <c r="AM22" i="14"/>
  <c r="AK17" i="14"/>
  <c r="AK14" i="14"/>
  <c r="AK20" i="14" s="1"/>
  <c r="AK26" i="14" s="1"/>
  <c r="AY256" i="1"/>
  <c r="AK25" i="14" s="1"/>
  <c r="AK22" i="14"/>
  <c r="AI17" i="14"/>
  <c r="AI14" i="14"/>
  <c r="AI20" i="14" s="1"/>
  <c r="AI26" i="14" s="1"/>
  <c r="AW256" i="1"/>
  <c r="AI25" i="14" s="1"/>
  <c r="AI22" i="14"/>
  <c r="AB20" i="14"/>
  <c r="AB26" i="14" s="1"/>
  <c r="AB15" i="14"/>
  <c r="AG22" i="2"/>
  <c r="B29" i="2"/>
  <c r="AF88" i="1" l="1"/>
  <c r="AD87" i="1"/>
  <c r="AQ17" i="14"/>
  <c r="AQ14" i="14"/>
  <c r="BC256" i="1"/>
  <c r="AO25" i="14" s="1"/>
  <c r="BE250" i="1"/>
  <c r="BE253" i="1"/>
  <c r="B75" i="1"/>
  <c r="D75" i="1"/>
  <c r="F75" i="1"/>
  <c r="H75" i="1"/>
  <c r="J75" i="1"/>
  <c r="L75" i="1"/>
  <c r="N75" i="1"/>
  <c r="P75" i="1"/>
  <c r="R74" i="1" s="1"/>
  <c r="P83" i="1"/>
  <c r="R83" i="1" s="1"/>
  <c r="AH88" i="1" l="1"/>
  <c r="AH87" i="1" s="1"/>
  <c r="AF87" i="1"/>
  <c r="AQ20" i="14"/>
  <c r="AQ26" i="14" s="1"/>
  <c r="BE256" i="1"/>
  <c r="AQ25" i="14" s="1"/>
  <c r="AQ22" i="14"/>
  <c r="R81" i="1"/>
  <c r="T83" i="1"/>
  <c r="B6" i="2"/>
  <c r="AG65" i="2"/>
  <c r="AG66" i="2"/>
  <c r="AG67" i="2"/>
  <c r="AG68" i="2"/>
  <c r="AG69" i="2"/>
  <c r="AG70" i="2"/>
  <c r="AG71" i="2"/>
  <c r="AG73" i="2"/>
  <c r="AG74" i="2"/>
  <c r="AG75" i="2"/>
  <c r="AG76" i="2"/>
  <c r="AG77" i="2"/>
  <c r="AG79" i="2"/>
  <c r="AG80" i="2"/>
  <c r="AG81" i="2"/>
  <c r="AG64" i="2"/>
  <c r="AG51" i="2"/>
  <c r="AG52" i="2"/>
  <c r="AG53" i="2"/>
  <c r="AG54" i="2"/>
  <c r="AG55" i="2"/>
  <c r="AG56" i="2"/>
  <c r="AG57" i="2"/>
  <c r="AG58" i="2"/>
  <c r="AG59" i="2"/>
  <c r="AG60" i="2"/>
  <c r="AG61" i="2"/>
  <c r="AG62" i="2"/>
  <c r="AG63" i="2"/>
  <c r="AG46" i="2"/>
  <c r="AG47" i="2"/>
  <c r="AG48" i="2"/>
  <c r="AG36" i="2"/>
  <c r="AI36" i="2" s="1"/>
  <c r="AG37" i="2"/>
  <c r="AI37" i="2" s="1"/>
  <c r="AG38" i="2"/>
  <c r="AI38" i="2" s="1"/>
  <c r="AG39" i="2"/>
  <c r="AI39" i="2" s="1"/>
  <c r="AG40" i="2"/>
  <c r="AI40" i="2" s="1"/>
  <c r="AG41" i="2"/>
  <c r="AI41" i="2" s="1"/>
  <c r="AG42" i="2"/>
  <c r="AI42" i="2" s="1"/>
  <c r="AG43" i="2"/>
  <c r="AI43" i="2" s="1"/>
  <c r="AG31" i="2"/>
  <c r="AG32" i="2"/>
  <c r="AG33" i="2"/>
  <c r="AG50" i="2"/>
  <c r="AG45" i="2"/>
  <c r="AG44" i="2" s="1"/>
  <c r="AG35" i="2"/>
  <c r="AG30" i="2"/>
  <c r="AG9" i="2"/>
  <c r="AG10" i="2"/>
  <c r="AG11" i="2"/>
  <c r="AG12" i="2"/>
  <c r="AG13" i="2"/>
  <c r="AG14" i="2"/>
  <c r="AG15" i="2"/>
  <c r="AG18" i="2"/>
  <c r="AG19" i="2"/>
  <c r="AG20" i="2"/>
  <c r="AG21" i="2"/>
  <c r="AG23" i="2"/>
  <c r="AG24" i="2"/>
  <c r="AG25" i="2"/>
  <c r="AG26" i="2"/>
  <c r="AG27" i="2"/>
  <c r="AG28" i="2"/>
  <c r="AG7" i="2"/>
  <c r="AG49" i="2" l="1"/>
  <c r="AG29" i="2"/>
  <c r="AG34" i="2"/>
  <c r="AI34" i="2"/>
  <c r="AI72" i="2" s="1"/>
  <c r="AI92" i="2" s="1"/>
  <c r="AG6" i="2"/>
  <c r="V83" i="1"/>
  <c r="T81" i="1"/>
  <c r="T68" i="1" s="1"/>
  <c r="T241" i="1" s="1"/>
  <c r="F8" i="14" s="1"/>
  <c r="AG72" i="2" l="1"/>
  <c r="AG92" i="2" s="1"/>
  <c r="V81" i="1"/>
  <c r="X83" i="1"/>
  <c r="Y23" i="14"/>
  <c r="H18" i="15"/>
  <c r="H19" i="15"/>
  <c r="H20" i="15"/>
  <c r="H21" i="15"/>
  <c r="H22" i="15"/>
  <c r="H17" i="15"/>
  <c r="H25" i="15" l="1"/>
  <c r="H26" i="15" s="1"/>
  <c r="X81" i="1"/>
  <c r="X68" i="1" s="1"/>
  <c r="X241" i="1" s="1"/>
  <c r="J8" i="14" s="1"/>
  <c r="Z83" i="1"/>
  <c r="V68" i="1"/>
  <c r="C52" i="4"/>
  <c r="AM57" i="1" s="1"/>
  <c r="C56" i="4"/>
  <c r="AM58" i="1" s="1"/>
  <c r="AM14" i="1"/>
  <c r="AM16" i="1"/>
  <c r="Z81" i="1" l="1"/>
  <c r="Z68" i="1" s="1"/>
  <c r="Z241" i="1" s="1"/>
  <c r="L8" i="14" s="1"/>
  <c r="AB83" i="1"/>
  <c r="V241" i="1"/>
  <c r="H8" i="14" s="1"/>
  <c r="AB81" i="1" l="1"/>
  <c r="AB68" i="1" s="1"/>
  <c r="AB241" i="1" s="1"/>
  <c r="N8" i="14" s="1"/>
  <c r="AD83" i="1"/>
  <c r="B34" i="2"/>
  <c r="P228" i="1"/>
  <c r="P232" i="1" s="1"/>
  <c r="P233" i="1"/>
  <c r="P219" i="1"/>
  <c r="P213" i="1"/>
  <c r="P217" i="1" s="1"/>
  <c r="P188" i="1"/>
  <c r="P193" i="1" s="1"/>
  <c r="P194" i="1"/>
  <c r="P181" i="1"/>
  <c r="P175" i="1"/>
  <c r="P179" i="1" s="1"/>
  <c r="AD81" i="1" l="1"/>
  <c r="AD68" i="1" s="1"/>
  <c r="AD241" i="1" s="1"/>
  <c r="P8" i="14" s="1"/>
  <c r="AF83" i="1"/>
  <c r="P180" i="1"/>
  <c r="P218" i="1"/>
  <c r="P192" i="1"/>
  <c r="P231" i="1"/>
  <c r="AM233" i="1"/>
  <c r="AM232" i="1"/>
  <c r="AM231" i="1"/>
  <c r="AM219" i="1"/>
  <c r="AM218" i="1"/>
  <c r="AM217" i="1"/>
  <c r="AM194" i="1"/>
  <c r="AM193" i="1"/>
  <c r="AM192" i="1"/>
  <c r="AM181" i="1"/>
  <c r="AM180" i="1"/>
  <c r="AM179" i="1"/>
  <c r="P143" i="1"/>
  <c r="P137" i="1"/>
  <c r="P142" i="1" s="1"/>
  <c r="AM143" i="1"/>
  <c r="AM142" i="1"/>
  <c r="AM141" i="1"/>
  <c r="AM12" i="1"/>
  <c r="P126" i="1"/>
  <c r="P123" i="1" s="1"/>
  <c r="B72" i="1"/>
  <c r="D72" i="1"/>
  <c r="F72" i="1"/>
  <c r="H72" i="1"/>
  <c r="J72" i="1"/>
  <c r="L72" i="1"/>
  <c r="N72" i="1"/>
  <c r="P72" i="1"/>
  <c r="P245" i="1"/>
  <c r="P98" i="1"/>
  <c r="P97" i="1" s="1"/>
  <c r="P243" i="1" s="1"/>
  <c r="P91" i="1"/>
  <c r="P87" i="1"/>
  <c r="P74" i="1"/>
  <c r="P81" i="1"/>
  <c r="P70" i="1"/>
  <c r="P57" i="1"/>
  <c r="P54" i="1"/>
  <c r="P33" i="1"/>
  <c r="P20" i="1"/>
  <c r="P12" i="1"/>
  <c r="P9" i="1" l="1"/>
  <c r="P8" i="1" s="1"/>
  <c r="AM243" i="1"/>
  <c r="Y10" i="14" s="1"/>
  <c r="AF81" i="1"/>
  <c r="AF68" i="1" s="1"/>
  <c r="AF241" i="1" s="1"/>
  <c r="R8" i="14" s="1"/>
  <c r="AH83" i="1"/>
  <c r="AH81" i="1" s="1"/>
  <c r="AH68" i="1" s="1"/>
  <c r="AH241" i="1" s="1"/>
  <c r="T8" i="14" s="1"/>
  <c r="P69" i="1"/>
  <c r="P68" i="1" s="1"/>
  <c r="P247" i="1"/>
  <c r="P257" i="1" s="1"/>
  <c r="R257" i="1" s="1"/>
  <c r="T257" i="1" s="1"/>
  <c r="V257" i="1" s="1"/>
  <c r="X257" i="1" s="1"/>
  <c r="Z257" i="1" s="1"/>
  <c r="AB257" i="1" s="1"/>
  <c r="AD257" i="1" s="1"/>
  <c r="AF257" i="1" s="1"/>
  <c r="AH257" i="1" s="1"/>
  <c r="P94" i="1"/>
  <c r="R94" i="1" s="1"/>
  <c r="T94" i="1" s="1"/>
  <c r="V94" i="1" s="1"/>
  <c r="X94" i="1" s="1"/>
  <c r="Z94" i="1" s="1"/>
  <c r="AB94" i="1" s="1"/>
  <c r="AD94" i="1" s="1"/>
  <c r="AF94" i="1" s="1"/>
  <c r="AH94" i="1" s="1"/>
  <c r="B12" i="14"/>
  <c r="Y9" i="14"/>
  <c r="Y12" i="14"/>
  <c r="B19" i="14"/>
  <c r="Y19" i="14" s="1"/>
  <c r="AM127" i="1"/>
  <c r="AM124" i="1" s="1"/>
  <c r="AM123" i="1" s="1"/>
  <c r="AM247" i="1" s="1"/>
  <c r="AM235" i="1"/>
  <c r="P141" i="1"/>
  <c r="P53" i="1"/>
  <c r="P240" i="1" s="1"/>
  <c r="P246" i="1"/>
  <c r="P85" i="1" l="1"/>
  <c r="P239" i="1"/>
  <c r="B6" i="14" s="1"/>
  <c r="R68" i="1"/>
  <c r="R241" i="1" s="1"/>
  <c r="D8" i="14" s="1"/>
  <c r="B7" i="14"/>
  <c r="Y18" i="14"/>
  <c r="B10" i="14"/>
  <c r="B18" i="14"/>
  <c r="P130" i="1"/>
  <c r="P253" i="1"/>
  <c r="P241" i="1"/>
  <c r="P242" i="1" l="1"/>
  <c r="B9" i="14" s="1"/>
  <c r="R95" i="1"/>
  <c r="B22" i="14"/>
  <c r="AM240" i="1"/>
  <c r="AM241" i="1"/>
  <c r="B8" i="14"/>
  <c r="R85" i="1" l="1"/>
  <c r="T95" i="1"/>
  <c r="Y7" i="14"/>
  <c r="Y8" i="14"/>
  <c r="T85" i="1" l="1"/>
  <c r="T242" i="1" s="1"/>
  <c r="F9" i="14" s="1"/>
  <c r="V95" i="1"/>
  <c r="R242" i="1"/>
  <c r="D9" i="14" s="1"/>
  <c r="R129" i="1"/>
  <c r="V85" i="1" l="1"/>
  <c r="V242" i="1" s="1"/>
  <c r="X95" i="1"/>
  <c r="T129" i="1"/>
  <c r="T122" i="1"/>
  <c r="T128" i="1" s="1"/>
  <c r="F14" i="14"/>
  <c r="AC15" i="14" s="1"/>
  <c r="AC16" i="14"/>
  <c r="X85" i="1" l="1"/>
  <c r="X122" i="1" s="1"/>
  <c r="Z95" i="1"/>
  <c r="H9" i="14"/>
  <c r="AE16" i="14" s="1"/>
  <c r="V252" i="1"/>
  <c r="AS255" i="1" s="1"/>
  <c r="V122" i="1"/>
  <c r="V129" i="1"/>
  <c r="V250" i="1"/>
  <c r="AS254" i="1" s="1"/>
  <c r="Z85" i="1" l="1"/>
  <c r="Z242" i="1" s="1"/>
  <c r="AB95" i="1"/>
  <c r="X242" i="1"/>
  <c r="X252" i="1" s="1"/>
  <c r="AU255" i="1" s="1"/>
  <c r="X129" i="1"/>
  <c r="H14" i="14"/>
  <c r="H20" i="14" s="1"/>
  <c r="H26" i="14" s="1"/>
  <c r="AE27" i="14" s="1"/>
  <c r="V128" i="1"/>
  <c r="V234" i="1" s="1"/>
  <c r="V236" i="1" s="1"/>
  <c r="X128" i="1"/>
  <c r="H21" i="14"/>
  <c r="AE24" i="14"/>
  <c r="N40" i="1"/>
  <c r="N248" i="1"/>
  <c r="N244" i="1"/>
  <c r="AB85" i="1" l="1"/>
  <c r="AB129" i="1" s="1"/>
  <c r="AD95" i="1"/>
  <c r="X250" i="1"/>
  <c r="AU254" i="1" s="1"/>
  <c r="J9" i="14"/>
  <c r="AG16" i="14" s="1"/>
  <c r="AE15" i="14"/>
  <c r="L9" i="14"/>
  <c r="X234" i="1"/>
  <c r="X236" i="1" s="1"/>
  <c r="J21" i="14"/>
  <c r="AG24" i="14"/>
  <c r="N235" i="1"/>
  <c r="N233" i="1"/>
  <c r="N228" i="1"/>
  <c r="N231" i="1" s="1"/>
  <c r="O219" i="1"/>
  <c r="N219" i="1"/>
  <c r="N213" i="1"/>
  <c r="N217" i="1" s="1"/>
  <c r="O194" i="1"/>
  <c r="N194" i="1"/>
  <c r="N188" i="1"/>
  <c r="N192" i="1" s="1"/>
  <c r="O181" i="1"/>
  <c r="N181" i="1"/>
  <c r="N175" i="1"/>
  <c r="N179" i="1" s="1"/>
  <c r="N143" i="1"/>
  <c r="O143" i="1"/>
  <c r="N137" i="1"/>
  <c r="N142" i="1" s="1"/>
  <c r="B74" i="1"/>
  <c r="D74" i="1"/>
  <c r="F74" i="1"/>
  <c r="H74" i="1"/>
  <c r="J74" i="1"/>
  <c r="L74" i="1"/>
  <c r="N74" i="1"/>
  <c r="N12" i="1"/>
  <c r="N20" i="1"/>
  <c r="N24" i="1"/>
  <c r="N28" i="1"/>
  <c r="N33" i="1"/>
  <c r="N54" i="1"/>
  <c r="N58" i="1"/>
  <c r="N57" i="1" s="1"/>
  <c r="B70" i="1"/>
  <c r="B69" i="1" s="1"/>
  <c r="D70" i="1"/>
  <c r="D69" i="1" s="1"/>
  <c r="F70" i="1"/>
  <c r="F69" i="1" s="1"/>
  <c r="H70" i="1"/>
  <c r="H69" i="1" s="1"/>
  <c r="J70" i="1"/>
  <c r="J69" i="1" s="1"/>
  <c r="L70" i="1"/>
  <c r="L69" i="1" s="1"/>
  <c r="N70" i="1"/>
  <c r="N69" i="1" s="1"/>
  <c r="N81" i="1"/>
  <c r="N87" i="1"/>
  <c r="N91" i="1"/>
  <c r="N98" i="1"/>
  <c r="N97" i="1" s="1"/>
  <c r="N243" i="1" s="1"/>
  <c r="B126" i="1"/>
  <c r="D126" i="1"/>
  <c r="F126" i="1"/>
  <c r="H126" i="1"/>
  <c r="J126" i="1"/>
  <c r="L126" i="1"/>
  <c r="N126" i="1"/>
  <c r="N247" i="1" s="1"/>
  <c r="N124" i="1"/>
  <c r="N114" i="1"/>
  <c r="N113" i="1" s="1"/>
  <c r="N245" i="1" s="1"/>
  <c r="AB122" i="1" l="1"/>
  <c r="AB128" i="1" s="1"/>
  <c r="AB242" i="1"/>
  <c r="N9" i="14" s="1"/>
  <c r="N14" i="14" s="1"/>
  <c r="AD85" i="1"/>
  <c r="AD129" i="1" s="1"/>
  <c r="AF95" i="1"/>
  <c r="J14" i="14"/>
  <c r="J20" i="14" s="1"/>
  <c r="J26" i="14" s="1"/>
  <c r="AG27" i="14" s="1"/>
  <c r="AM56" i="1"/>
  <c r="AM246" i="1" s="1"/>
  <c r="N232" i="1"/>
  <c r="N68" i="1"/>
  <c r="N241" i="1" s="1"/>
  <c r="N85" i="1"/>
  <c r="N242" i="1" s="1"/>
  <c r="N180" i="1"/>
  <c r="N193" i="1"/>
  <c r="N123" i="1"/>
  <c r="N246" i="1" s="1"/>
  <c r="N53" i="1"/>
  <c r="N240" i="1" s="1"/>
  <c r="N218" i="1"/>
  <c r="N141" i="1"/>
  <c r="N9" i="1"/>
  <c r="N8" i="1" s="1"/>
  <c r="N239" i="1" s="1"/>
  <c r="AK16" i="14" l="1"/>
  <c r="AD122" i="1"/>
  <c r="AD128" i="1" s="1"/>
  <c r="AD234" i="1" s="1"/>
  <c r="AD236" i="1" s="1"/>
  <c r="AB252" i="1"/>
  <c r="AY255" i="1" s="1"/>
  <c r="AK24" i="14" s="1"/>
  <c r="AD242" i="1"/>
  <c r="P9" i="14" s="1"/>
  <c r="AB250" i="1"/>
  <c r="AY254" i="1" s="1"/>
  <c r="AF85" i="1"/>
  <c r="AF129" i="1" s="1"/>
  <c r="AH85" i="1"/>
  <c r="AG15" i="14"/>
  <c r="AB234" i="1"/>
  <c r="AB236" i="1" s="1"/>
  <c r="N20" i="14"/>
  <c r="N26" i="14" s="1"/>
  <c r="AK27" i="14" s="1"/>
  <c r="AK15" i="14"/>
  <c r="Y13" i="14"/>
  <c r="AM253" i="1"/>
  <c r="N253" i="1"/>
  <c r="N130" i="1"/>
  <c r="N250" i="1"/>
  <c r="N122" i="1"/>
  <c r="N128" i="1" s="1"/>
  <c r="N234" i="1" s="1"/>
  <c r="N236" i="1" s="1"/>
  <c r="N129" i="1"/>
  <c r="N252" i="1"/>
  <c r="N21" i="14" l="1"/>
  <c r="AF242" i="1"/>
  <c r="R9" i="14" s="1"/>
  <c r="AD250" i="1"/>
  <c r="BA254" i="1" s="1"/>
  <c r="AD252" i="1"/>
  <c r="BA255" i="1" s="1"/>
  <c r="AM24" i="14" s="1"/>
  <c r="AF122" i="1"/>
  <c r="AF128" i="1" s="1"/>
  <c r="AH242" i="1"/>
  <c r="T9" i="14" s="1"/>
  <c r="AH129" i="1"/>
  <c r="AH122" i="1"/>
  <c r="AH128" i="1" s="1"/>
  <c r="AH234" i="1" s="1"/>
  <c r="AH236" i="1" s="1"/>
  <c r="P14" i="14"/>
  <c r="AM16" i="14"/>
  <c r="L233" i="1"/>
  <c r="P21" i="14" l="1"/>
  <c r="AF250" i="1"/>
  <c r="BC254" i="1" s="1"/>
  <c r="AF252" i="1"/>
  <c r="R21" i="14" s="1"/>
  <c r="T14" i="14"/>
  <c r="AQ16" i="14"/>
  <c r="AH252" i="1"/>
  <c r="AH250" i="1"/>
  <c r="BE254" i="1" s="1"/>
  <c r="AF234" i="1"/>
  <c r="AF236" i="1" s="1"/>
  <c r="AO16" i="14"/>
  <c r="R14" i="14"/>
  <c r="P20" i="14"/>
  <c r="P26" i="14" s="1"/>
  <c r="AM27" i="14" s="1"/>
  <c r="AM15" i="14"/>
  <c r="M222" i="1"/>
  <c r="O222" i="1" s="1"/>
  <c r="BC255" i="1" l="1"/>
  <c r="AO24" i="14" s="1"/>
  <c r="T20" i="14"/>
  <c r="T26" i="14" s="1"/>
  <c r="AQ27" i="14" s="1"/>
  <c r="AQ15" i="14"/>
  <c r="BE255" i="1"/>
  <c r="AQ24" i="14" s="1"/>
  <c r="T21" i="14"/>
  <c r="AO15" i="14"/>
  <c r="R20" i="14"/>
  <c r="R26" i="14" s="1"/>
  <c r="AO27" i="14" s="1"/>
  <c r="B44" i="2"/>
  <c r="B72" i="2" s="1"/>
  <c r="B92" i="2" s="1"/>
  <c r="AM239" i="1" l="1"/>
  <c r="AM252" i="1" s="1"/>
  <c r="L24" i="1"/>
  <c r="M26" i="1"/>
  <c r="O26" i="1" s="1"/>
  <c r="O24" i="1" s="1"/>
  <c r="AM122" i="1" l="1"/>
  <c r="AM129" i="1"/>
  <c r="L12" i="1"/>
  <c r="M19" i="1"/>
  <c r="O19" i="1" s="1"/>
  <c r="Y6" i="14" l="1"/>
  <c r="L58" i="1"/>
  <c r="Y21" i="14" l="1"/>
  <c r="L248" i="1"/>
  <c r="L247" i="1"/>
  <c r="L235" i="1"/>
  <c r="L228" i="1"/>
  <c r="M219" i="1"/>
  <c r="L219" i="1"/>
  <c r="L213" i="1"/>
  <c r="L217" i="1" s="1"/>
  <c r="M208" i="1"/>
  <c r="O208" i="1" s="1"/>
  <c r="M194" i="1"/>
  <c r="L194" i="1"/>
  <c r="L188" i="1"/>
  <c r="L192" i="1" s="1"/>
  <c r="M181" i="1"/>
  <c r="L181" i="1"/>
  <c r="L175" i="1"/>
  <c r="L179" i="1" s="1"/>
  <c r="L143" i="1"/>
  <c r="M143" i="1"/>
  <c r="L137" i="1"/>
  <c r="L142" i="1" s="1"/>
  <c r="L124" i="1"/>
  <c r="L123" i="1" s="1"/>
  <c r="L114" i="1"/>
  <c r="L113" i="1" s="1"/>
  <c r="L245" i="1" s="1"/>
  <c r="L100" i="1"/>
  <c r="L244" i="1" s="1"/>
  <c r="L98" i="1"/>
  <c r="L97" i="1" s="1"/>
  <c r="L243" i="1" s="1"/>
  <c r="L91" i="1"/>
  <c r="B87" i="1"/>
  <c r="D87" i="1"/>
  <c r="F87" i="1"/>
  <c r="H87" i="1"/>
  <c r="J87" i="1"/>
  <c r="L87" i="1"/>
  <c r="L81" i="1"/>
  <c r="L57" i="1"/>
  <c r="L54" i="1"/>
  <c r="L40" i="1"/>
  <c r="L33" i="1" s="1"/>
  <c r="L28" i="1"/>
  <c r="L20" i="1"/>
  <c r="L53" i="1" l="1"/>
  <c r="L130" i="1" s="1"/>
  <c r="L9" i="1"/>
  <c r="L8" i="1" s="1"/>
  <c r="L85" i="1"/>
  <c r="L242" i="1" s="1"/>
  <c r="L232" i="1"/>
  <c r="L231" i="1"/>
  <c r="L141" i="1"/>
  <c r="L246" i="1"/>
  <c r="L180" i="1"/>
  <c r="L193" i="1"/>
  <c r="L218" i="1"/>
  <c r="L68" i="1"/>
  <c r="L241" i="1" s="1"/>
  <c r="L240" i="1" l="1"/>
  <c r="L122" i="1"/>
  <c r="L128" i="1" s="1"/>
  <c r="L234" i="1" s="1"/>
  <c r="L236" i="1" s="1"/>
  <c r="L239" i="1"/>
  <c r="L129" i="1"/>
  <c r="L253" i="1" l="1"/>
  <c r="L250" i="1"/>
  <c r="L252" i="1"/>
  <c r="K18" i="1" l="1"/>
  <c r="M18" i="1" s="1"/>
  <c r="O18" i="1" s="1"/>
  <c r="J40" i="1" l="1"/>
  <c r="K46" i="1"/>
  <c r="M46" i="1" s="1"/>
  <c r="O46" i="1" s="1"/>
  <c r="K30" i="1" l="1"/>
  <c r="M30" i="1" s="1"/>
  <c r="O30" i="1" s="1"/>
  <c r="J28" i="1"/>
  <c r="J25" i="1" l="1"/>
  <c r="J22" i="1" l="1"/>
  <c r="J17" i="1"/>
  <c r="J16" i="1"/>
  <c r="J12" i="1" l="1"/>
  <c r="J33" i="1"/>
  <c r="J248" i="1" l="1"/>
  <c r="J235" i="1"/>
  <c r="J233" i="1"/>
  <c r="J228" i="1"/>
  <c r="K219" i="1"/>
  <c r="J219" i="1"/>
  <c r="J213" i="1"/>
  <c r="K194" i="1"/>
  <c r="J194" i="1"/>
  <c r="J188" i="1"/>
  <c r="J192" i="1" s="1"/>
  <c r="K181" i="1"/>
  <c r="J181" i="1"/>
  <c r="J175" i="1"/>
  <c r="J179" i="1" s="1"/>
  <c r="K145" i="1"/>
  <c r="J143" i="1"/>
  <c r="K143" i="1"/>
  <c r="J137" i="1"/>
  <c r="J141" i="1" s="1"/>
  <c r="J124" i="1"/>
  <c r="J114" i="1"/>
  <c r="J113" i="1" s="1"/>
  <c r="J245" i="1" s="1"/>
  <c r="J100" i="1"/>
  <c r="J244" i="1" s="1"/>
  <c r="J98" i="1"/>
  <c r="J97" i="1" s="1"/>
  <c r="J243" i="1" s="1"/>
  <c r="J91" i="1"/>
  <c r="J85" i="1" s="1"/>
  <c r="J242" i="1" s="1"/>
  <c r="J81" i="1"/>
  <c r="J58" i="1"/>
  <c r="J57" i="1" s="1"/>
  <c r="J54" i="1"/>
  <c r="J24" i="1"/>
  <c r="J20" i="1"/>
  <c r="K154" i="1" l="1"/>
  <c r="K155" i="1"/>
  <c r="M145" i="1"/>
  <c r="J231" i="1"/>
  <c r="J232" i="1"/>
  <c r="J247" i="1"/>
  <c r="J123" i="1"/>
  <c r="J246" i="1" s="1"/>
  <c r="J68" i="1"/>
  <c r="J241" i="1" s="1"/>
  <c r="J53" i="1"/>
  <c r="J240" i="1" s="1"/>
  <c r="J180" i="1"/>
  <c r="J217" i="1"/>
  <c r="J218" i="1"/>
  <c r="J193" i="1"/>
  <c r="J142" i="1"/>
  <c r="J9" i="1"/>
  <c r="J8" i="1" s="1"/>
  <c r="M155" i="1" l="1"/>
  <c r="M154" i="1"/>
  <c r="J130" i="1"/>
  <c r="J253" i="1"/>
  <c r="J239" i="1"/>
  <c r="J129" i="1"/>
  <c r="J122" i="1"/>
  <c r="J128" i="1" s="1"/>
  <c r="J234" i="1" s="1"/>
  <c r="J236" i="1" s="1"/>
  <c r="J252" i="1" l="1"/>
  <c r="J250" i="1"/>
  <c r="H58" i="1" l="1"/>
  <c r="I61" i="1"/>
  <c r="K61" i="1" s="1"/>
  <c r="M61" i="1" s="1"/>
  <c r="O61" i="1" s="1"/>
  <c r="I60" i="1" l="1"/>
  <c r="K60" i="1" s="1"/>
  <c r="M60" i="1" s="1"/>
  <c r="O60" i="1" s="1"/>
  <c r="H24" i="1" l="1"/>
  <c r="H12" i="1"/>
  <c r="B28" i="1" l="1"/>
  <c r="D28" i="1"/>
  <c r="F28" i="1"/>
  <c r="H28" i="1"/>
  <c r="H248" i="1" l="1"/>
  <c r="H235" i="1"/>
  <c r="H233" i="1"/>
  <c r="H228" i="1"/>
  <c r="I219" i="1"/>
  <c r="H219" i="1"/>
  <c r="H213" i="1"/>
  <c r="H217" i="1" s="1"/>
  <c r="I194" i="1"/>
  <c r="H194" i="1"/>
  <c r="H188" i="1"/>
  <c r="H192" i="1" s="1"/>
  <c r="H181" i="1"/>
  <c r="I181" i="1"/>
  <c r="H175" i="1"/>
  <c r="H179" i="1" s="1"/>
  <c r="H143" i="1"/>
  <c r="I143" i="1"/>
  <c r="H137" i="1"/>
  <c r="H142" i="1" s="1"/>
  <c r="I258" i="1"/>
  <c r="K258" i="1" s="1"/>
  <c r="M258" i="1" s="1"/>
  <c r="O258" i="1" s="1"/>
  <c r="H124" i="1"/>
  <c r="H114" i="1"/>
  <c r="H113" i="1" s="1"/>
  <c r="H245" i="1" s="1"/>
  <c r="H100" i="1"/>
  <c r="H244" i="1" s="1"/>
  <c r="H98" i="1"/>
  <c r="H97" i="1" s="1"/>
  <c r="H243" i="1" s="1"/>
  <c r="H91" i="1"/>
  <c r="H81" i="1"/>
  <c r="H57" i="1"/>
  <c r="B54" i="1"/>
  <c r="C54" i="1"/>
  <c r="D54" i="1"/>
  <c r="E54" i="1"/>
  <c r="F54" i="1"/>
  <c r="H54" i="1"/>
  <c r="B40" i="1"/>
  <c r="D40" i="1"/>
  <c r="F40" i="1"/>
  <c r="H40" i="1"/>
  <c r="H33" i="1" s="1"/>
  <c r="H20" i="1"/>
  <c r="H9" i="1" s="1"/>
  <c r="H231" i="1" l="1"/>
  <c r="H232" i="1"/>
  <c r="H247" i="1"/>
  <c r="H123" i="1"/>
  <c r="H246" i="1" s="1"/>
  <c r="H68" i="1"/>
  <c r="H241" i="1" s="1"/>
  <c r="H85" i="1"/>
  <c r="H242" i="1" s="1"/>
  <c r="H218" i="1"/>
  <c r="H53" i="1"/>
  <c r="H130" i="1" s="1"/>
  <c r="H193" i="1"/>
  <c r="H180" i="1"/>
  <c r="H141" i="1"/>
  <c r="H8" i="1"/>
  <c r="H239" i="1" s="1"/>
  <c r="H252" i="1" l="1"/>
  <c r="H129" i="1"/>
  <c r="H122" i="1"/>
  <c r="H128" i="1" s="1"/>
  <c r="H234" i="1" s="1"/>
  <c r="H236" i="1" s="1"/>
  <c r="H240" i="1"/>
  <c r="H253" i="1" l="1"/>
  <c r="H250" i="1"/>
  <c r="F17" i="1" l="1"/>
  <c r="F22" i="1"/>
  <c r="F16" i="1"/>
  <c r="F25" i="1"/>
  <c r="F248" i="1" l="1"/>
  <c r="F235" i="1"/>
  <c r="F233" i="1"/>
  <c r="F228" i="1"/>
  <c r="F219" i="1"/>
  <c r="G219" i="1"/>
  <c r="F213" i="1"/>
  <c r="F218" i="1" s="1"/>
  <c r="F194" i="1"/>
  <c r="G194" i="1"/>
  <c r="F188" i="1"/>
  <c r="F193" i="1" s="1"/>
  <c r="F181" i="1"/>
  <c r="G181" i="1"/>
  <c r="F175" i="1"/>
  <c r="F179" i="1" s="1"/>
  <c r="F143" i="1"/>
  <c r="G143" i="1"/>
  <c r="F137" i="1"/>
  <c r="F142" i="1" s="1"/>
  <c r="F124" i="1"/>
  <c r="F114" i="1"/>
  <c r="F113" i="1" s="1"/>
  <c r="F245" i="1" s="1"/>
  <c r="F100" i="1"/>
  <c r="F244" i="1" s="1"/>
  <c r="F98" i="1"/>
  <c r="F97" i="1" s="1"/>
  <c r="F243" i="1" s="1"/>
  <c r="F91" i="1"/>
  <c r="F81" i="1"/>
  <c r="F58" i="1"/>
  <c r="F57" i="1" s="1"/>
  <c r="F53" i="1" s="1"/>
  <c r="F33" i="1"/>
  <c r="F24" i="1"/>
  <c r="F20" i="1"/>
  <c r="F12" i="1"/>
  <c r="G55" i="1"/>
  <c r="G106" i="1"/>
  <c r="I106" i="1" s="1"/>
  <c r="K106" i="1" s="1"/>
  <c r="M106" i="1" s="1"/>
  <c r="O106" i="1" s="1"/>
  <c r="G107" i="1"/>
  <c r="I107" i="1" s="1"/>
  <c r="K107" i="1" s="1"/>
  <c r="M107" i="1" s="1"/>
  <c r="O107" i="1" s="1"/>
  <c r="G108" i="1"/>
  <c r="I108" i="1" s="1"/>
  <c r="K108" i="1" s="1"/>
  <c r="M108" i="1" s="1"/>
  <c r="O108" i="1" s="1"/>
  <c r="F231" i="1" l="1"/>
  <c r="F232" i="1"/>
  <c r="F247" i="1"/>
  <c r="F123" i="1"/>
  <c r="F246" i="1" s="1"/>
  <c r="F130" i="1"/>
  <c r="F85" i="1"/>
  <c r="F242" i="1" s="1"/>
  <c r="I55" i="1"/>
  <c r="G54" i="1"/>
  <c r="F180" i="1"/>
  <c r="F240" i="1"/>
  <c r="F68" i="1"/>
  <c r="F241" i="1" s="1"/>
  <c r="F217" i="1"/>
  <c r="F192" i="1"/>
  <c r="F141" i="1"/>
  <c r="I54" i="1" l="1"/>
  <c r="K55" i="1"/>
  <c r="F253" i="1"/>
  <c r="K54" i="1" l="1"/>
  <c r="M55" i="1"/>
  <c r="M54" i="1" l="1"/>
  <c r="O55" i="1"/>
  <c r="O54" i="1" s="1"/>
  <c r="D92" i="1"/>
  <c r="D95" i="1"/>
  <c r="D94" i="1"/>
  <c r="D58" i="1" l="1"/>
  <c r="E59" i="1"/>
  <c r="G59" i="1" s="1"/>
  <c r="I59" i="1" s="1"/>
  <c r="K59" i="1" s="1"/>
  <c r="M59" i="1" s="1"/>
  <c r="O59" i="1" s="1"/>
  <c r="D228" i="1" l="1"/>
  <c r="D232" i="1" s="1"/>
  <c r="D235" i="1"/>
  <c r="E132" i="1"/>
  <c r="G132" i="1" s="1"/>
  <c r="I132" i="1" s="1"/>
  <c r="K132" i="1" s="1"/>
  <c r="M132" i="1" s="1"/>
  <c r="O132" i="1" s="1"/>
  <c r="D91" i="1" l="1"/>
  <c r="D85" i="1" s="1"/>
  <c r="E93" i="1"/>
  <c r="G93" i="1" s="1"/>
  <c r="I93" i="1" s="1"/>
  <c r="K93" i="1" s="1"/>
  <c r="M93" i="1" s="1"/>
  <c r="O93" i="1" s="1"/>
  <c r="D248" i="1"/>
  <c r="D233" i="1"/>
  <c r="D219" i="1"/>
  <c r="D213" i="1"/>
  <c r="D217" i="1" s="1"/>
  <c r="E219" i="1"/>
  <c r="D194" i="1"/>
  <c r="D188" i="1"/>
  <c r="E194" i="1"/>
  <c r="D181" i="1"/>
  <c r="D175" i="1"/>
  <c r="E181" i="1"/>
  <c r="D137" i="1"/>
  <c r="D142" i="1" s="1"/>
  <c r="D143" i="1"/>
  <c r="E143" i="1"/>
  <c r="D124" i="1"/>
  <c r="D114" i="1"/>
  <c r="D113" i="1" s="1"/>
  <c r="D245" i="1" s="1"/>
  <c r="D98" i="1"/>
  <c r="D97" i="1" s="1"/>
  <c r="D243" i="1" s="1"/>
  <c r="D100" i="1"/>
  <c r="D244" i="1" s="1"/>
  <c r="D81" i="1"/>
  <c r="D57" i="1"/>
  <c r="D33" i="1"/>
  <c r="D24" i="1"/>
  <c r="D20" i="1"/>
  <c r="D12" i="1"/>
  <c r="D247" i="1" l="1"/>
  <c r="D257" i="1" s="1"/>
  <c r="D123" i="1"/>
  <c r="D246" i="1" s="1"/>
  <c r="D141" i="1"/>
  <c r="D9" i="1"/>
  <c r="D8" i="1" s="1"/>
  <c r="D53" i="1"/>
  <c r="D179" i="1"/>
  <c r="D180" i="1"/>
  <c r="D192" i="1"/>
  <c r="D193" i="1"/>
  <c r="D231" i="1"/>
  <c r="D218" i="1"/>
  <c r="D242" i="1"/>
  <c r="D68" i="1"/>
  <c r="D240" i="1" l="1"/>
  <c r="D130" i="1"/>
  <c r="D239" i="1"/>
  <c r="D129" i="1"/>
  <c r="D122" i="1"/>
  <c r="D128" i="1" s="1"/>
  <c r="D234" i="1" s="1"/>
  <c r="D236" i="1" s="1"/>
  <c r="D241" i="1"/>
  <c r="D253" i="1" l="1"/>
  <c r="D252" i="1"/>
  <c r="D250" i="1"/>
  <c r="D254" i="1" l="1"/>
  <c r="B233" i="1" l="1"/>
  <c r="C223" i="1"/>
  <c r="E223" i="1" s="1"/>
  <c r="C183" i="1"/>
  <c r="E183" i="1" s="1"/>
  <c r="G183" i="1" s="1"/>
  <c r="I183" i="1" s="1"/>
  <c r="K183" i="1" s="1"/>
  <c r="M183" i="1" s="1"/>
  <c r="C184" i="1"/>
  <c r="E184" i="1" s="1"/>
  <c r="G184" i="1" l="1"/>
  <c r="G223" i="1"/>
  <c r="E233" i="1"/>
  <c r="C17" i="1"/>
  <c r="E17" i="1" s="1"/>
  <c r="G17" i="1" s="1"/>
  <c r="I17" i="1" s="1"/>
  <c r="K17" i="1" s="1"/>
  <c r="M17" i="1" s="1"/>
  <c r="B12" i="1"/>
  <c r="B58" i="1"/>
  <c r="B57" i="1" s="1"/>
  <c r="I223" i="1" l="1"/>
  <c r="G233" i="1"/>
  <c r="I184" i="1"/>
  <c r="B248" i="1"/>
  <c r="B33" i="1"/>
  <c r="K184" i="1" l="1"/>
  <c r="M184" i="1" s="1"/>
  <c r="O184" i="1" s="1"/>
  <c r="K223" i="1"/>
  <c r="K233" i="1" s="1"/>
  <c r="I233" i="1"/>
  <c r="M223" i="1" l="1"/>
  <c r="O223" i="1" l="1"/>
  <c r="O233" i="1" s="1"/>
  <c r="M233" i="1"/>
  <c r="B235" i="1"/>
  <c r="B228" i="1"/>
  <c r="B232" i="1" s="1"/>
  <c r="C225" i="1"/>
  <c r="C226" i="1"/>
  <c r="C227" i="1"/>
  <c r="C229" i="1"/>
  <c r="E229" i="1" s="1"/>
  <c r="C224" i="1"/>
  <c r="E224" i="1" s="1"/>
  <c r="B219" i="1"/>
  <c r="B213" i="1"/>
  <c r="B218" i="1" s="1"/>
  <c r="C210" i="1"/>
  <c r="C211" i="1"/>
  <c r="C212" i="1"/>
  <c r="C214" i="1"/>
  <c r="E214" i="1" s="1"/>
  <c r="G214" i="1" s="1"/>
  <c r="C216" i="1"/>
  <c r="C209" i="1"/>
  <c r="E209" i="1" s="1"/>
  <c r="B194" i="1"/>
  <c r="B188" i="1"/>
  <c r="C185" i="1"/>
  <c r="C186" i="1"/>
  <c r="C187" i="1"/>
  <c r="C189" i="1"/>
  <c r="E189" i="1" s="1"/>
  <c r="C191" i="1"/>
  <c r="B181" i="1"/>
  <c r="B175" i="1"/>
  <c r="B179" i="1" s="1"/>
  <c r="C172" i="1"/>
  <c r="C173" i="1"/>
  <c r="C174" i="1"/>
  <c r="C176" i="1"/>
  <c r="E176" i="1" s="1"/>
  <c r="C178" i="1"/>
  <c r="C171" i="1"/>
  <c r="E171" i="1" s="1"/>
  <c r="B137" i="1"/>
  <c r="B142" i="1" s="1"/>
  <c r="B143" i="1"/>
  <c r="C134" i="1"/>
  <c r="C135" i="1"/>
  <c r="C136" i="1"/>
  <c r="C138" i="1"/>
  <c r="E138" i="1" s="1"/>
  <c r="C139" i="1"/>
  <c r="E139" i="1" s="1"/>
  <c r="C140" i="1"/>
  <c r="C133" i="1"/>
  <c r="E133" i="1" s="1"/>
  <c r="B124" i="1"/>
  <c r="B114" i="1"/>
  <c r="B113" i="1" s="1"/>
  <c r="B245" i="1" s="1"/>
  <c r="B100" i="1"/>
  <c r="B244" i="1" s="1"/>
  <c r="B98" i="1"/>
  <c r="B97" i="1" s="1"/>
  <c r="B243" i="1" s="1"/>
  <c r="B91" i="1"/>
  <c r="B85" i="1" s="1"/>
  <c r="B242" i="1" s="1"/>
  <c r="B81" i="1"/>
  <c r="B53" i="1"/>
  <c r="B24" i="1"/>
  <c r="B20" i="1"/>
  <c r="C10" i="1"/>
  <c r="E10" i="1" s="1"/>
  <c r="G10" i="1" s="1"/>
  <c r="I10" i="1" s="1"/>
  <c r="K10" i="1" s="1"/>
  <c r="M10" i="1" s="1"/>
  <c r="O10" i="1" s="1"/>
  <c r="C11" i="1"/>
  <c r="E11" i="1" s="1"/>
  <c r="G11" i="1" s="1"/>
  <c r="I11" i="1" s="1"/>
  <c r="K11" i="1" s="1"/>
  <c r="M11" i="1" s="1"/>
  <c r="O11" i="1" s="1"/>
  <c r="C14" i="1"/>
  <c r="E14" i="1" s="1"/>
  <c r="G14" i="1" s="1"/>
  <c r="I14" i="1" s="1"/>
  <c r="K14" i="1" s="1"/>
  <c r="M14" i="1" s="1"/>
  <c r="O14" i="1" s="1"/>
  <c r="C15" i="1"/>
  <c r="E15" i="1" s="1"/>
  <c r="G15" i="1" s="1"/>
  <c r="I15" i="1" s="1"/>
  <c r="K15" i="1" s="1"/>
  <c r="M15" i="1" s="1"/>
  <c r="O15" i="1" s="1"/>
  <c r="C16" i="1"/>
  <c r="E16" i="1" s="1"/>
  <c r="G16" i="1" s="1"/>
  <c r="I16" i="1" s="1"/>
  <c r="K16" i="1" s="1"/>
  <c r="M16" i="1" s="1"/>
  <c r="C21" i="1"/>
  <c r="E21" i="1" s="1"/>
  <c r="G21" i="1" s="1"/>
  <c r="I21" i="1" s="1"/>
  <c r="K21" i="1" s="1"/>
  <c r="M21" i="1" s="1"/>
  <c r="O21" i="1" s="1"/>
  <c r="C22" i="1"/>
  <c r="E22" i="1" s="1"/>
  <c r="G22" i="1" s="1"/>
  <c r="I22" i="1" s="1"/>
  <c r="K22" i="1" s="1"/>
  <c r="M22" i="1" s="1"/>
  <c r="C23" i="1"/>
  <c r="E23" i="1" s="1"/>
  <c r="G23" i="1" s="1"/>
  <c r="I23" i="1" s="1"/>
  <c r="K23" i="1" s="1"/>
  <c r="M23" i="1" s="1"/>
  <c r="O23" i="1" s="1"/>
  <c r="C25" i="1"/>
  <c r="C29" i="1"/>
  <c r="C28" i="1" s="1"/>
  <c r="C31" i="1"/>
  <c r="E31" i="1" s="1"/>
  <c r="G31" i="1" s="1"/>
  <c r="I31" i="1" s="1"/>
  <c r="K31" i="1" s="1"/>
  <c r="M31" i="1" s="1"/>
  <c r="O31" i="1" s="1"/>
  <c r="C32" i="1"/>
  <c r="C41" i="1"/>
  <c r="C42" i="1"/>
  <c r="E42" i="1" s="1"/>
  <c r="G42" i="1" s="1"/>
  <c r="I42" i="1" s="1"/>
  <c r="K42" i="1" s="1"/>
  <c r="M42" i="1" s="1"/>
  <c r="O42" i="1" s="1"/>
  <c r="C43" i="1"/>
  <c r="E43" i="1" s="1"/>
  <c r="G43" i="1" s="1"/>
  <c r="I43" i="1" s="1"/>
  <c r="K43" i="1" s="1"/>
  <c r="M43" i="1" s="1"/>
  <c r="O43" i="1" s="1"/>
  <c r="C44" i="1"/>
  <c r="E44" i="1" s="1"/>
  <c r="G44" i="1" s="1"/>
  <c r="I44" i="1" s="1"/>
  <c r="K44" i="1" s="1"/>
  <c r="M44" i="1" s="1"/>
  <c r="O44" i="1" s="1"/>
  <c r="C45" i="1"/>
  <c r="E45" i="1" s="1"/>
  <c r="G45" i="1" s="1"/>
  <c r="I45" i="1" s="1"/>
  <c r="K45" i="1" s="1"/>
  <c r="M45" i="1" s="1"/>
  <c r="O45" i="1" s="1"/>
  <c r="C50" i="1"/>
  <c r="E50" i="1" s="1"/>
  <c r="G50" i="1" s="1"/>
  <c r="I50" i="1" s="1"/>
  <c r="K50" i="1" s="1"/>
  <c r="M50" i="1" s="1"/>
  <c r="O50" i="1" s="1"/>
  <c r="C71" i="1"/>
  <c r="C70" i="1" s="1"/>
  <c r="C69" i="1" s="1"/>
  <c r="C77" i="1"/>
  <c r="E77" i="1" s="1"/>
  <c r="G77" i="1" s="1"/>
  <c r="I77" i="1" s="1"/>
  <c r="K77" i="1" s="1"/>
  <c r="M77" i="1" s="1"/>
  <c r="O77" i="1" s="1"/>
  <c r="C78" i="1"/>
  <c r="E78" i="1" s="1"/>
  <c r="G78" i="1" s="1"/>
  <c r="I78" i="1" s="1"/>
  <c r="K78" i="1" s="1"/>
  <c r="M78" i="1" s="1"/>
  <c r="O78" i="1" s="1"/>
  <c r="C80" i="1"/>
  <c r="C82" i="1"/>
  <c r="E82" i="1" s="1"/>
  <c r="G82" i="1" s="1"/>
  <c r="I82" i="1" s="1"/>
  <c r="C83" i="1"/>
  <c r="E83" i="1" s="1"/>
  <c r="G83" i="1" s="1"/>
  <c r="I83" i="1" s="1"/>
  <c r="K83" i="1" s="1"/>
  <c r="M83" i="1" s="1"/>
  <c r="O83" i="1" s="1"/>
  <c r="C84" i="1"/>
  <c r="E84" i="1" s="1"/>
  <c r="G84" i="1" s="1"/>
  <c r="I84" i="1" s="1"/>
  <c r="K84" i="1" s="1"/>
  <c r="M84" i="1" s="1"/>
  <c r="O84" i="1" s="1"/>
  <c r="C86" i="1"/>
  <c r="E86" i="1" s="1"/>
  <c r="G86" i="1" s="1"/>
  <c r="I86" i="1" s="1"/>
  <c r="K86" i="1" s="1"/>
  <c r="M86" i="1" s="1"/>
  <c r="O86" i="1" s="1"/>
  <c r="C88" i="1"/>
  <c r="C89" i="1"/>
  <c r="E89" i="1" s="1"/>
  <c r="G89" i="1" s="1"/>
  <c r="I89" i="1" s="1"/>
  <c r="K89" i="1" s="1"/>
  <c r="M89" i="1" s="1"/>
  <c r="O89" i="1" s="1"/>
  <c r="C90" i="1"/>
  <c r="E90" i="1" s="1"/>
  <c r="G90" i="1" s="1"/>
  <c r="I90" i="1" s="1"/>
  <c r="K90" i="1" s="1"/>
  <c r="M90" i="1" s="1"/>
  <c r="O90" i="1" s="1"/>
  <c r="C92" i="1"/>
  <c r="C96" i="1"/>
  <c r="E96" i="1" s="1"/>
  <c r="G96" i="1" s="1"/>
  <c r="I96" i="1" s="1"/>
  <c r="K96" i="1" s="1"/>
  <c r="M96" i="1" s="1"/>
  <c r="O96" i="1" s="1"/>
  <c r="C105" i="1"/>
  <c r="C106" i="1"/>
  <c r="C107" i="1"/>
  <c r="C108" i="1"/>
  <c r="C115" i="1"/>
  <c r="C116" i="1"/>
  <c r="E116" i="1" s="1"/>
  <c r="G116" i="1" s="1"/>
  <c r="I116" i="1" s="1"/>
  <c r="K116" i="1" s="1"/>
  <c r="M116" i="1" s="1"/>
  <c r="O116" i="1" s="1"/>
  <c r="C117" i="1"/>
  <c r="E117" i="1" s="1"/>
  <c r="G117" i="1" s="1"/>
  <c r="I117" i="1" s="1"/>
  <c r="K117" i="1" s="1"/>
  <c r="M117" i="1" s="1"/>
  <c r="O117" i="1" s="1"/>
  <c r="C118" i="1"/>
  <c r="E118" i="1" s="1"/>
  <c r="G118" i="1" s="1"/>
  <c r="I118" i="1" s="1"/>
  <c r="K118" i="1" s="1"/>
  <c r="M118" i="1" s="1"/>
  <c r="O118" i="1" s="1"/>
  <c r="C125" i="1"/>
  <c r="E80" i="1" l="1"/>
  <c r="E79" i="1" s="1"/>
  <c r="C79" i="1"/>
  <c r="C87" i="1"/>
  <c r="O20" i="1"/>
  <c r="B247" i="1"/>
  <c r="B257" i="1" s="1"/>
  <c r="B123" i="1"/>
  <c r="B246" i="1" s="1"/>
  <c r="C181" i="1"/>
  <c r="C219" i="1"/>
  <c r="M20" i="1"/>
  <c r="G133" i="1"/>
  <c r="G176" i="1"/>
  <c r="G171" i="1"/>
  <c r="C143" i="1"/>
  <c r="C233" i="1"/>
  <c r="G209" i="1"/>
  <c r="G224" i="1"/>
  <c r="G139" i="1"/>
  <c r="C194" i="1"/>
  <c r="E137" i="1"/>
  <c r="E142" i="1" s="1"/>
  <c r="G138" i="1"/>
  <c r="G189" i="1"/>
  <c r="I214" i="1"/>
  <c r="G229" i="1"/>
  <c r="I229" i="1" s="1"/>
  <c r="K229" i="1" s="1"/>
  <c r="M229" i="1" s="1"/>
  <c r="O229" i="1" s="1"/>
  <c r="I81" i="1"/>
  <c r="K82" i="1"/>
  <c r="K20" i="1"/>
  <c r="B130" i="1"/>
  <c r="C40" i="1"/>
  <c r="C33" i="1" s="1"/>
  <c r="I20" i="1"/>
  <c r="G81" i="1"/>
  <c r="G58" i="1"/>
  <c r="E58" i="1"/>
  <c r="E57" i="1" s="1"/>
  <c r="E53" i="1" s="1"/>
  <c r="E41" i="1"/>
  <c r="E40" i="1" s="1"/>
  <c r="E88" i="1"/>
  <c r="E87" i="1" s="1"/>
  <c r="G20" i="1"/>
  <c r="C124" i="1"/>
  <c r="E125" i="1"/>
  <c r="E71" i="1"/>
  <c r="E70" i="1" s="1"/>
  <c r="E69" i="1" s="1"/>
  <c r="C24" i="1"/>
  <c r="E25" i="1"/>
  <c r="C114" i="1"/>
  <c r="C113" i="1" s="1"/>
  <c r="C245" i="1" s="1"/>
  <c r="E115" i="1"/>
  <c r="C100" i="1"/>
  <c r="C244" i="1" s="1"/>
  <c r="E105" i="1"/>
  <c r="E81" i="1"/>
  <c r="E32" i="1"/>
  <c r="E29" i="1"/>
  <c r="E20" i="1"/>
  <c r="C91" i="1"/>
  <c r="E92" i="1"/>
  <c r="B68" i="1"/>
  <c r="B241" i="1" s="1"/>
  <c r="B240" i="1"/>
  <c r="B9" i="1"/>
  <c r="B8" i="1" s="1"/>
  <c r="B231" i="1"/>
  <c r="B192" i="1"/>
  <c r="B193" i="1"/>
  <c r="B217" i="1"/>
  <c r="B141" i="1"/>
  <c r="C137" i="1"/>
  <c r="C58" i="1"/>
  <c r="C57" i="1" s="1"/>
  <c r="C53" i="1" s="1"/>
  <c r="C81" i="1"/>
  <c r="C20" i="1"/>
  <c r="B180" i="1"/>
  <c r="G80" i="1" l="1"/>
  <c r="G79" i="1" s="1"/>
  <c r="K81" i="1"/>
  <c r="M82" i="1"/>
  <c r="K214" i="1"/>
  <c r="M214" i="1" s="1"/>
  <c r="O214" i="1" s="1"/>
  <c r="I138" i="1"/>
  <c r="G137" i="1"/>
  <c r="G141" i="1" s="1"/>
  <c r="I209" i="1"/>
  <c r="I139" i="1"/>
  <c r="I176" i="1"/>
  <c r="K176" i="1" s="1"/>
  <c r="M176" i="1" s="1"/>
  <c r="O176" i="1" s="1"/>
  <c r="E141" i="1"/>
  <c r="I189" i="1"/>
  <c r="I171" i="1"/>
  <c r="I224" i="1"/>
  <c r="I133" i="1"/>
  <c r="B129" i="1"/>
  <c r="G29" i="1"/>
  <c r="E28" i="1"/>
  <c r="G57" i="1"/>
  <c r="G53" i="1" s="1"/>
  <c r="G240" i="1" s="1"/>
  <c r="E240" i="1"/>
  <c r="G32" i="1"/>
  <c r="G71" i="1"/>
  <c r="G70" i="1" s="1"/>
  <c r="G69" i="1" s="1"/>
  <c r="E114" i="1"/>
  <c r="E113" i="1" s="1"/>
  <c r="E245" i="1" s="1"/>
  <c r="G115" i="1"/>
  <c r="E91" i="1"/>
  <c r="G92" i="1"/>
  <c r="E100" i="1"/>
  <c r="E244" i="1" s="1"/>
  <c r="G105" i="1"/>
  <c r="E24" i="1"/>
  <c r="G25" i="1"/>
  <c r="F9" i="1"/>
  <c r="F8" i="1" s="1"/>
  <c r="F129" i="1" s="1"/>
  <c r="E124" i="1"/>
  <c r="G125" i="1"/>
  <c r="G88" i="1"/>
  <c r="G87" i="1" s="1"/>
  <c r="E33" i="1"/>
  <c r="G41" i="1"/>
  <c r="B253" i="1"/>
  <c r="C240" i="1"/>
  <c r="B239" i="1"/>
  <c r="C141" i="1"/>
  <c r="C142" i="1"/>
  <c r="B122" i="1"/>
  <c r="B128" i="1" s="1"/>
  <c r="B234" i="1" s="1"/>
  <c r="B236" i="1" s="1"/>
  <c r="I80" i="1" l="1"/>
  <c r="I79" i="1" s="1"/>
  <c r="M81" i="1"/>
  <c r="O82" i="1"/>
  <c r="O81" i="1" s="1"/>
  <c r="G142" i="1"/>
  <c r="K171" i="1"/>
  <c r="M171" i="1" s="1"/>
  <c r="O171" i="1" s="1"/>
  <c r="K133" i="1"/>
  <c r="M133" i="1" s="1"/>
  <c r="O133" i="1" s="1"/>
  <c r="K224" i="1"/>
  <c r="M224" i="1" s="1"/>
  <c r="K138" i="1"/>
  <c r="M138" i="1" s="1"/>
  <c r="O138" i="1" s="1"/>
  <c r="I137" i="1"/>
  <c r="I141" i="1" s="1"/>
  <c r="K139" i="1"/>
  <c r="M139" i="1" s="1"/>
  <c r="K189" i="1"/>
  <c r="M189" i="1" s="1"/>
  <c r="O189" i="1" s="1"/>
  <c r="K209" i="1"/>
  <c r="M209" i="1" s="1"/>
  <c r="O209" i="1" s="1"/>
  <c r="G124" i="1"/>
  <c r="I125" i="1"/>
  <c r="G91" i="1"/>
  <c r="I92" i="1"/>
  <c r="I58" i="1"/>
  <c r="I57" i="1" s="1"/>
  <c r="I53" i="1" s="1"/>
  <c r="I88" i="1"/>
  <c r="I87" i="1" s="1"/>
  <c r="G100" i="1"/>
  <c r="G244" i="1" s="1"/>
  <c r="I105" i="1"/>
  <c r="G114" i="1"/>
  <c r="G113" i="1" s="1"/>
  <c r="I115" i="1"/>
  <c r="I32" i="1"/>
  <c r="I41" i="1"/>
  <c r="I40" i="1" s="1"/>
  <c r="G40" i="1"/>
  <c r="G33" i="1" s="1"/>
  <c r="G24" i="1"/>
  <c r="I25" i="1"/>
  <c r="I71" i="1"/>
  <c r="I70" i="1" s="1"/>
  <c r="I69" i="1" s="1"/>
  <c r="G28" i="1"/>
  <c r="I29" i="1"/>
  <c r="F239" i="1"/>
  <c r="F122" i="1"/>
  <c r="F128" i="1" s="1"/>
  <c r="F234" i="1" s="1"/>
  <c r="F236" i="1" s="1"/>
  <c r="B250" i="1"/>
  <c r="B254" i="1" s="1"/>
  <c r="B252" i="1"/>
  <c r="K80" i="1" l="1"/>
  <c r="K79" i="1" s="1"/>
  <c r="O137" i="1"/>
  <c r="O142" i="1" s="1"/>
  <c r="M137" i="1"/>
  <c r="K58" i="1"/>
  <c r="K57" i="1" s="1"/>
  <c r="K53" i="1" s="1"/>
  <c r="K240" i="1" s="1"/>
  <c r="K137" i="1"/>
  <c r="K142" i="1" s="1"/>
  <c r="I142" i="1"/>
  <c r="I24" i="1"/>
  <c r="K25" i="1"/>
  <c r="K32" i="1"/>
  <c r="M32" i="1" s="1"/>
  <c r="O32" i="1" s="1"/>
  <c r="K105" i="1"/>
  <c r="I100" i="1"/>
  <c r="I244" i="1" s="1"/>
  <c r="K88" i="1"/>
  <c r="K92" i="1"/>
  <c r="I91" i="1"/>
  <c r="I28" i="1"/>
  <c r="K29" i="1"/>
  <c r="K115" i="1"/>
  <c r="I114" i="1"/>
  <c r="I113" i="1" s="1"/>
  <c r="I245" i="1" s="1"/>
  <c r="K125" i="1"/>
  <c r="I124" i="1"/>
  <c r="K71" i="1"/>
  <c r="K70" i="1" s="1"/>
  <c r="K69" i="1" s="1"/>
  <c r="I33" i="1"/>
  <c r="K41" i="1"/>
  <c r="M41" i="1" s="1"/>
  <c r="G245" i="1"/>
  <c r="I240" i="1"/>
  <c r="F252" i="1"/>
  <c r="F250" i="1"/>
  <c r="M80" i="1" l="1"/>
  <c r="M79" i="1" s="1"/>
  <c r="O58" i="1"/>
  <c r="O57" i="1" s="1"/>
  <c r="O53" i="1" s="1"/>
  <c r="O240" i="1" s="1"/>
  <c r="K141" i="1"/>
  <c r="O141" i="1"/>
  <c r="M40" i="1"/>
  <c r="M33" i="1" s="1"/>
  <c r="O41" i="1"/>
  <c r="M141" i="1"/>
  <c r="M88" i="1"/>
  <c r="K87" i="1"/>
  <c r="K124" i="1"/>
  <c r="M125" i="1"/>
  <c r="M142" i="1"/>
  <c r="K100" i="1"/>
  <c r="K244" i="1" s="1"/>
  <c r="M105" i="1"/>
  <c r="K114" i="1"/>
  <c r="K113" i="1" s="1"/>
  <c r="K245" i="1" s="1"/>
  <c r="M115" i="1"/>
  <c r="K91" i="1"/>
  <c r="M92" i="1"/>
  <c r="M58" i="1"/>
  <c r="M57" i="1" s="1"/>
  <c r="M53" i="1" s="1"/>
  <c r="K28" i="1"/>
  <c r="M29" i="1"/>
  <c r="K24" i="1"/>
  <c r="M25" i="1"/>
  <c r="M71" i="1"/>
  <c r="K40" i="1"/>
  <c r="K33" i="1" s="1"/>
  <c r="O80" i="1" l="1"/>
  <c r="O79" i="1" s="1"/>
  <c r="M100" i="1"/>
  <c r="M244" i="1" s="1"/>
  <c r="O105" i="1"/>
  <c r="M114" i="1"/>
  <c r="M113" i="1" s="1"/>
  <c r="M245" i="1" s="1"/>
  <c r="O115" i="1"/>
  <c r="O114" i="1" s="1"/>
  <c r="O113" i="1" s="1"/>
  <c r="O245" i="1" s="1"/>
  <c r="M124" i="1"/>
  <c r="O125" i="1"/>
  <c r="O124" i="1" s="1"/>
  <c r="M87" i="1"/>
  <c r="O87" i="1"/>
  <c r="O40" i="1"/>
  <c r="O33" i="1" s="1"/>
  <c r="M91" i="1"/>
  <c r="O92" i="1"/>
  <c r="O91" i="1" s="1"/>
  <c r="M24" i="1"/>
  <c r="M28" i="1"/>
  <c r="O29" i="1"/>
  <c r="O28" i="1" s="1"/>
  <c r="O71" i="1"/>
  <c r="O70" i="1" s="1"/>
  <c r="O69" i="1" s="1"/>
  <c r="M70" i="1"/>
  <c r="M69" i="1" s="1"/>
  <c r="M240" i="1"/>
  <c r="O100" i="1" l="1"/>
  <c r="O244" i="1" l="1"/>
  <c r="P244" i="1"/>
  <c r="P252" i="1" l="1"/>
  <c r="P122" i="1"/>
  <c r="P128" i="1" s="1"/>
  <c r="P129" i="1"/>
  <c r="B11" i="14"/>
  <c r="Y16" i="14" s="1"/>
  <c r="P250" i="1"/>
  <c r="Q244" i="1" l="1"/>
  <c r="Q122" i="1"/>
  <c r="Q128" i="1" s="1"/>
  <c r="Q234" i="1" s="1"/>
  <c r="Q236" i="1" s="1"/>
  <c r="Q129" i="1"/>
  <c r="P234" i="1"/>
  <c r="P236" i="1" s="1"/>
  <c r="B21" i="14"/>
  <c r="AM255" i="1"/>
  <c r="Y24" i="14" s="1"/>
  <c r="B14" i="14"/>
  <c r="B20" i="14" s="1"/>
  <c r="B26" i="14" s="1"/>
  <c r="C11" i="14" l="1"/>
  <c r="Q250" i="1"/>
  <c r="AN254" i="1" s="1"/>
  <c r="Q252" i="1"/>
  <c r="R244" i="1"/>
  <c r="R122" i="1"/>
  <c r="R128" i="1" s="1"/>
  <c r="D11" i="14" l="1"/>
  <c r="AN255" i="1"/>
  <c r="Z24" i="14" s="1"/>
  <c r="C21" i="14"/>
  <c r="Z16" i="14"/>
  <c r="C14" i="14"/>
  <c r="Z15" i="14" s="1"/>
  <c r="C127" i="1"/>
  <c r="C126" i="1" s="1"/>
  <c r="C20" i="14" l="1"/>
  <c r="C26" i="14" s="1"/>
  <c r="Z27" i="14" s="1"/>
  <c r="D14" i="14"/>
  <c r="AA15" i="14" s="1"/>
  <c r="AA16" i="14"/>
  <c r="E127" i="1"/>
  <c r="E126" i="1" s="1"/>
  <c r="C123" i="1"/>
  <c r="C247" i="1" l="1"/>
  <c r="C257" i="1" s="1"/>
  <c r="E123" i="1"/>
  <c r="G127" i="1"/>
  <c r="G126" i="1" s="1"/>
  <c r="C190" i="1"/>
  <c r="C188" i="1" l="1"/>
  <c r="E190" i="1"/>
  <c r="E247" i="1"/>
  <c r="E257" i="1" s="1"/>
  <c r="I127" i="1"/>
  <c r="I126" i="1" s="1"/>
  <c r="G123" i="1"/>
  <c r="C230" i="1"/>
  <c r="C215" i="1"/>
  <c r="C177" i="1"/>
  <c r="C99" i="1"/>
  <c r="C76" i="1"/>
  <c r="C73" i="1"/>
  <c r="C72" i="1" s="1"/>
  <c r="E76" i="1" l="1"/>
  <c r="C75" i="1"/>
  <c r="C228" i="1"/>
  <c r="C232" i="1" s="1"/>
  <c r="E230" i="1"/>
  <c r="E73" i="1"/>
  <c r="E72" i="1" s="1"/>
  <c r="G247" i="1"/>
  <c r="G257" i="1" s="1"/>
  <c r="I257" i="1" s="1"/>
  <c r="K257" i="1" s="1"/>
  <c r="M257" i="1" s="1"/>
  <c r="O257" i="1" s="1"/>
  <c r="E177" i="1"/>
  <c r="C175" i="1"/>
  <c r="C235" i="1"/>
  <c r="C248" i="1"/>
  <c r="K127" i="1"/>
  <c r="K126" i="1" s="1"/>
  <c r="I123" i="1"/>
  <c r="G190" i="1"/>
  <c r="E188" i="1"/>
  <c r="E99" i="1"/>
  <c r="C98" i="1"/>
  <c r="C97" i="1" s="1"/>
  <c r="E215" i="1"/>
  <c r="C213" i="1"/>
  <c r="C193" i="1"/>
  <c r="C192" i="1"/>
  <c r="G76" i="1" l="1"/>
  <c r="E75" i="1"/>
  <c r="M127" i="1"/>
  <c r="E98" i="1"/>
  <c r="E97" i="1" s="1"/>
  <c r="G99" i="1"/>
  <c r="C180" i="1"/>
  <c r="C179" i="1"/>
  <c r="C246" i="1"/>
  <c r="G73" i="1"/>
  <c r="G72" i="1" s="1"/>
  <c r="C217" i="1"/>
  <c r="C218" i="1"/>
  <c r="G177" i="1"/>
  <c r="E175" i="1"/>
  <c r="E248" i="1"/>
  <c r="E235" i="1"/>
  <c r="E213" i="1"/>
  <c r="G215" i="1"/>
  <c r="E193" i="1"/>
  <c r="E192" i="1"/>
  <c r="G230" i="1"/>
  <c r="E228" i="1"/>
  <c r="E232" i="1" s="1"/>
  <c r="I247" i="1"/>
  <c r="C243" i="1"/>
  <c r="C130" i="1"/>
  <c r="I190" i="1"/>
  <c r="G188" i="1"/>
  <c r="C231" i="1"/>
  <c r="M126" i="1" l="1"/>
  <c r="O127" i="1"/>
  <c r="O126" i="1" s="1"/>
  <c r="I76" i="1"/>
  <c r="G75" i="1"/>
  <c r="K247" i="1"/>
  <c r="K123" i="1"/>
  <c r="I215" i="1"/>
  <c r="G213" i="1"/>
  <c r="E180" i="1"/>
  <c r="E179" i="1"/>
  <c r="E246" i="1"/>
  <c r="I73" i="1"/>
  <c r="I72" i="1" s="1"/>
  <c r="E231" i="1"/>
  <c r="E218" i="1"/>
  <c r="E217" i="1"/>
  <c r="I177" i="1"/>
  <c r="G235" i="1"/>
  <c r="G248" i="1"/>
  <c r="G175" i="1"/>
  <c r="I99" i="1"/>
  <c r="G98" i="1"/>
  <c r="G97" i="1" s="1"/>
  <c r="G193" i="1"/>
  <c r="G192" i="1"/>
  <c r="K190" i="1"/>
  <c r="I188" i="1"/>
  <c r="C253" i="1"/>
  <c r="G228" i="1"/>
  <c r="G232" i="1" s="1"/>
  <c r="I230" i="1"/>
  <c r="E130" i="1"/>
  <c r="E243" i="1"/>
  <c r="O247" i="1" l="1"/>
  <c r="O123" i="1"/>
  <c r="K76" i="1"/>
  <c r="I75" i="1"/>
  <c r="K188" i="1"/>
  <c r="K192" i="1" s="1"/>
  <c r="M190" i="1"/>
  <c r="M247" i="1"/>
  <c r="M123" i="1"/>
  <c r="E253" i="1"/>
  <c r="K99" i="1"/>
  <c r="I98" i="1"/>
  <c r="I97" i="1" s="1"/>
  <c r="I175" i="1"/>
  <c r="K177" i="1"/>
  <c r="M177" i="1" s="1"/>
  <c r="I235" i="1"/>
  <c r="I248" i="1"/>
  <c r="G179" i="1"/>
  <c r="G180" i="1"/>
  <c r="G246" i="1"/>
  <c r="K73" i="1"/>
  <c r="K72" i="1" s="1"/>
  <c r="I228" i="1"/>
  <c r="I232" i="1" s="1"/>
  <c r="K230" i="1"/>
  <c r="I192" i="1"/>
  <c r="I193" i="1"/>
  <c r="G218" i="1"/>
  <c r="G217" i="1"/>
  <c r="G231" i="1"/>
  <c r="G243" i="1"/>
  <c r="G130" i="1"/>
  <c r="K215" i="1"/>
  <c r="I213" i="1"/>
  <c r="K193" i="1" l="1"/>
  <c r="O175" i="1"/>
  <c r="K75" i="1"/>
  <c r="M76" i="1"/>
  <c r="M75" i="1" s="1"/>
  <c r="M188" i="1"/>
  <c r="M192" i="1" s="1"/>
  <c r="O188" i="1"/>
  <c r="K228" i="1"/>
  <c r="K232" i="1" s="1"/>
  <c r="M230" i="1"/>
  <c r="M175" i="1"/>
  <c r="K213" i="1"/>
  <c r="K217" i="1" s="1"/>
  <c r="M215" i="1"/>
  <c r="K98" i="1"/>
  <c r="K97" i="1" s="1"/>
  <c r="K130" i="1" s="1"/>
  <c r="M99" i="1"/>
  <c r="M73" i="1"/>
  <c r="M72" i="1" s="1"/>
  <c r="G253" i="1"/>
  <c r="I243" i="1"/>
  <c r="I130" i="1"/>
  <c r="I217" i="1"/>
  <c r="I218" i="1"/>
  <c r="I231" i="1"/>
  <c r="K175" i="1"/>
  <c r="K248" i="1"/>
  <c r="K235" i="1"/>
  <c r="I180" i="1"/>
  <c r="I179" i="1"/>
  <c r="I246" i="1"/>
  <c r="K243" i="1" l="1"/>
  <c r="O76" i="1"/>
  <c r="M213" i="1"/>
  <c r="K218" i="1"/>
  <c r="M193" i="1"/>
  <c r="M98" i="1"/>
  <c r="M97" i="1" s="1"/>
  <c r="M130" i="1" s="1"/>
  <c r="O99" i="1"/>
  <c r="K231" i="1"/>
  <c r="M228" i="1"/>
  <c r="M232" i="1" s="1"/>
  <c r="O228" i="1"/>
  <c r="O192" i="1"/>
  <c r="O193" i="1"/>
  <c r="O179" i="1"/>
  <c r="O180" i="1"/>
  <c r="O73" i="1"/>
  <c r="O72" i="1" s="1"/>
  <c r="M248" i="1"/>
  <c r="M179" i="1"/>
  <c r="M180" i="1"/>
  <c r="M235" i="1"/>
  <c r="K179" i="1"/>
  <c r="K180" i="1"/>
  <c r="K246" i="1"/>
  <c r="I253" i="1"/>
  <c r="O98" i="1" l="1"/>
  <c r="O97" i="1" s="1"/>
  <c r="O243" i="1" s="1"/>
  <c r="K253" i="1"/>
  <c r="M243" i="1"/>
  <c r="M246" i="1"/>
  <c r="M218" i="1"/>
  <c r="M231" i="1"/>
  <c r="M217" i="1"/>
  <c r="O232" i="1"/>
  <c r="O231" i="1"/>
  <c r="O213" i="1"/>
  <c r="O235" i="1"/>
  <c r="O248" i="1"/>
  <c r="O130" i="1" l="1"/>
  <c r="M253" i="1"/>
  <c r="O218" i="1"/>
  <c r="O217" i="1"/>
  <c r="O246" i="1"/>
  <c r="O253" i="1"/>
  <c r="C94" i="1" l="1"/>
  <c r="E94" i="1" s="1"/>
  <c r="G94" i="1" s="1"/>
  <c r="I94" i="1" s="1"/>
  <c r="K94" i="1" l="1"/>
  <c r="M94" i="1" s="1"/>
  <c r="C95" i="1"/>
  <c r="E95" i="1" l="1"/>
  <c r="C85" i="1"/>
  <c r="E85" i="1" l="1"/>
  <c r="E242" i="1" s="1"/>
  <c r="G95" i="1"/>
  <c r="C242" i="1"/>
  <c r="N25" i="17"/>
  <c r="K25" i="17"/>
  <c r="I25" i="17"/>
  <c r="F25" i="17"/>
  <c r="E25" i="17"/>
  <c r="D25" i="17"/>
  <c r="C25" i="17"/>
  <c r="O24" i="17"/>
  <c r="G23" i="17"/>
  <c r="O23" i="17" s="1"/>
  <c r="P23" i="17" s="1"/>
  <c r="O22" i="17"/>
  <c r="P22" i="17" s="1"/>
  <c r="O21" i="17"/>
  <c r="O19" i="17"/>
  <c r="P19" i="17" s="1"/>
  <c r="M25" i="17"/>
  <c r="J25" i="17"/>
  <c r="O17" i="17"/>
  <c r="P17" i="17" s="1"/>
  <c r="H25" i="17"/>
  <c r="N14" i="17"/>
  <c r="K14" i="17"/>
  <c r="I14" i="17"/>
  <c r="F14" i="17"/>
  <c r="D14" i="17"/>
  <c r="C14" i="17"/>
  <c r="L14" i="17"/>
  <c r="H14" i="17"/>
  <c r="O12" i="17"/>
  <c r="P12" i="17" s="1"/>
  <c r="O10" i="17"/>
  <c r="P10" i="17" s="1"/>
  <c r="O8" i="17"/>
  <c r="P8" i="17" s="1"/>
  <c r="G14" i="17"/>
  <c r="C15" i="16"/>
  <c r="B15" i="16"/>
  <c r="E9" i="16"/>
  <c r="D9" i="16"/>
  <c r="C9" i="16"/>
  <c r="B26" i="15"/>
  <c r="B15" i="15"/>
  <c r="D26" i="17" l="1"/>
  <c r="G25" i="17"/>
  <c r="G26" i="17" s="1"/>
  <c r="I26" i="17"/>
  <c r="G85" i="1"/>
  <c r="G242" i="1" s="1"/>
  <c r="I95" i="1"/>
  <c r="F26" i="17"/>
  <c r="K26" i="17"/>
  <c r="H26" i="17"/>
  <c r="N26" i="17"/>
  <c r="M14" i="17"/>
  <c r="M26" i="17" s="1"/>
  <c r="O13" i="17"/>
  <c r="E14" i="17"/>
  <c r="E26" i="17" s="1"/>
  <c r="J14" i="17"/>
  <c r="J26" i="17" s="1"/>
  <c r="O18" i="17"/>
  <c r="P18" i="17" s="1"/>
  <c r="O20" i="17"/>
  <c r="P20" i="17" s="1"/>
  <c r="O11" i="17"/>
  <c r="P11" i="17" s="1"/>
  <c r="O16" i="17"/>
  <c r="P16" i="17" s="1"/>
  <c r="L25" i="17"/>
  <c r="L26" i="17" s="1"/>
  <c r="O9" i="17"/>
  <c r="C26" i="17"/>
  <c r="O7" i="17"/>
  <c r="P7" i="17" s="1"/>
  <c r="O26" i="17" l="1"/>
  <c r="P26" i="17" s="1"/>
  <c r="K95" i="1"/>
  <c r="I85" i="1"/>
  <c r="I242" i="1" s="1"/>
  <c r="O25" i="17"/>
  <c r="O14" i="17"/>
  <c r="K85" i="1" l="1"/>
  <c r="K242" i="1" s="1"/>
  <c r="M95" i="1"/>
  <c r="D44" i="12"/>
  <c r="M85" i="1" l="1"/>
  <c r="M242" i="1" s="1"/>
  <c r="O85" i="1"/>
  <c r="O242" i="1" s="1"/>
  <c r="C13" i="1" l="1"/>
  <c r="E13" i="1" l="1"/>
  <c r="C12" i="1"/>
  <c r="C9" i="1" s="1"/>
  <c r="C8" i="1" s="1"/>
  <c r="C239" i="1" s="1"/>
  <c r="G13" i="1" l="1"/>
  <c r="E12" i="1"/>
  <c r="E9" i="1" s="1"/>
  <c r="E8" i="1" s="1"/>
  <c r="E239" i="1" s="1"/>
  <c r="I13" i="1" l="1"/>
  <c r="G12" i="1"/>
  <c r="G9" i="1" s="1"/>
  <c r="G8" i="1" s="1"/>
  <c r="G239" i="1" s="1"/>
  <c r="HE143" i="1"/>
  <c r="HD143" i="1"/>
  <c r="HC143" i="1"/>
  <c r="HB143" i="1"/>
  <c r="HA143" i="1"/>
  <c r="GZ143" i="1"/>
  <c r="GY143" i="1"/>
  <c r="GX143" i="1"/>
  <c r="GW143" i="1"/>
  <c r="GV143" i="1"/>
  <c r="GU143" i="1"/>
  <c r="GT143" i="1"/>
  <c r="GS143" i="1"/>
  <c r="GR143" i="1"/>
  <c r="GQ143" i="1"/>
  <c r="GP143" i="1"/>
  <c r="GO143" i="1"/>
  <c r="GN143" i="1"/>
  <c r="GM143" i="1"/>
  <c r="GL143" i="1"/>
  <c r="GK143" i="1"/>
  <c r="GJ143" i="1"/>
  <c r="GI143" i="1"/>
  <c r="GH143" i="1"/>
  <c r="GG143" i="1"/>
  <c r="GF143" i="1"/>
  <c r="GE143" i="1"/>
  <c r="GD143" i="1"/>
  <c r="GC143" i="1"/>
  <c r="GB143" i="1"/>
  <c r="GA143" i="1"/>
  <c r="FZ143" i="1"/>
  <c r="FY143" i="1"/>
  <c r="FX143" i="1"/>
  <c r="FW143" i="1"/>
  <c r="FV143" i="1"/>
  <c r="FU143" i="1"/>
  <c r="FT143" i="1"/>
  <c r="FS143" i="1"/>
  <c r="FR143" i="1"/>
  <c r="FQ143" i="1"/>
  <c r="FP143" i="1"/>
  <c r="FO143" i="1"/>
  <c r="FN143" i="1"/>
  <c r="FM143" i="1"/>
  <c r="FL143" i="1"/>
  <c r="FK143" i="1"/>
  <c r="FJ143" i="1"/>
  <c r="FI143" i="1"/>
  <c r="FH143" i="1"/>
  <c r="FG143" i="1"/>
  <c r="FF143" i="1"/>
  <c r="FE143" i="1"/>
  <c r="FD143" i="1"/>
  <c r="FC143" i="1"/>
  <c r="FB143" i="1"/>
  <c r="FA143" i="1"/>
  <c r="EZ143" i="1"/>
  <c r="EY143" i="1"/>
  <c r="EX143" i="1"/>
  <c r="EW143" i="1"/>
  <c r="EV143" i="1"/>
  <c r="EU143" i="1"/>
  <c r="ET143" i="1"/>
  <c r="ES143" i="1"/>
  <c r="ER143" i="1"/>
  <c r="EQ143" i="1"/>
  <c r="EP143" i="1"/>
  <c r="EO143" i="1"/>
  <c r="EN143" i="1"/>
  <c r="EM143" i="1"/>
  <c r="EL143" i="1"/>
  <c r="EK143" i="1"/>
  <c r="EJ143" i="1"/>
  <c r="EI143" i="1"/>
  <c r="EH143" i="1"/>
  <c r="EG143" i="1"/>
  <c r="EF143" i="1"/>
  <c r="EE143" i="1"/>
  <c r="ED143" i="1"/>
  <c r="EC143" i="1"/>
  <c r="EB143" i="1"/>
  <c r="EA143" i="1"/>
  <c r="DZ143" i="1"/>
  <c r="DY143" i="1"/>
  <c r="DX143" i="1"/>
  <c r="DW143" i="1"/>
  <c r="DV143" i="1"/>
  <c r="DU143" i="1"/>
  <c r="DT143" i="1"/>
  <c r="DS143" i="1"/>
  <c r="DR143" i="1"/>
  <c r="DQ143" i="1"/>
  <c r="DP143" i="1"/>
  <c r="DO143" i="1"/>
  <c r="DN143" i="1"/>
  <c r="DM143" i="1"/>
  <c r="DL143" i="1"/>
  <c r="DK143" i="1"/>
  <c r="DJ143" i="1"/>
  <c r="DI143" i="1"/>
  <c r="DH143" i="1"/>
  <c r="DG143" i="1"/>
  <c r="DF143" i="1"/>
  <c r="DE143" i="1"/>
  <c r="DD143" i="1"/>
  <c r="DC143" i="1"/>
  <c r="DB143" i="1"/>
  <c r="DA143" i="1"/>
  <c r="CZ143" i="1"/>
  <c r="CY143" i="1"/>
  <c r="CX143" i="1"/>
  <c r="CW143" i="1"/>
  <c r="CV143" i="1"/>
  <c r="CU143" i="1"/>
  <c r="CT143" i="1"/>
  <c r="CS143" i="1"/>
  <c r="CR143" i="1"/>
  <c r="CQ143" i="1"/>
  <c r="CP143" i="1"/>
  <c r="CO143" i="1"/>
  <c r="CN143" i="1"/>
  <c r="CM143" i="1"/>
  <c r="CL143" i="1"/>
  <c r="CK143" i="1"/>
  <c r="CJ143" i="1"/>
  <c r="CI143" i="1"/>
  <c r="CH143" i="1"/>
  <c r="CG143" i="1"/>
  <c r="CF143" i="1"/>
  <c r="CE143" i="1"/>
  <c r="CD143" i="1"/>
  <c r="CC143" i="1"/>
  <c r="CB143" i="1"/>
  <c r="CA143" i="1"/>
  <c r="BZ143" i="1"/>
  <c r="BY143" i="1"/>
  <c r="HE142" i="1"/>
  <c r="HD142" i="1"/>
  <c r="HC142" i="1"/>
  <c r="HB142" i="1"/>
  <c r="HA142" i="1"/>
  <c r="GZ142" i="1"/>
  <c r="GY142" i="1"/>
  <c r="GX142" i="1"/>
  <c r="GW142" i="1"/>
  <c r="GV142" i="1"/>
  <c r="GU142" i="1"/>
  <c r="GT142" i="1"/>
  <c r="GS142" i="1"/>
  <c r="GR142" i="1"/>
  <c r="GQ142" i="1"/>
  <c r="GP142" i="1"/>
  <c r="GO142" i="1"/>
  <c r="GN142" i="1"/>
  <c r="GM142" i="1"/>
  <c r="GL142" i="1"/>
  <c r="GK142" i="1"/>
  <c r="GJ142" i="1"/>
  <c r="GI142" i="1"/>
  <c r="GH142" i="1"/>
  <c r="GG142" i="1"/>
  <c r="GF142" i="1"/>
  <c r="GE142" i="1"/>
  <c r="GD142" i="1"/>
  <c r="GC142" i="1"/>
  <c r="GB142" i="1"/>
  <c r="GA142" i="1"/>
  <c r="FZ142" i="1"/>
  <c r="FY142" i="1"/>
  <c r="FX142" i="1"/>
  <c r="FW142" i="1"/>
  <c r="FV142" i="1"/>
  <c r="FU142" i="1"/>
  <c r="FT142" i="1"/>
  <c r="FS142" i="1"/>
  <c r="FR142" i="1"/>
  <c r="FQ142" i="1"/>
  <c r="FP142" i="1"/>
  <c r="FO142" i="1"/>
  <c r="FN142" i="1"/>
  <c r="FM142" i="1"/>
  <c r="FL142" i="1"/>
  <c r="FK142" i="1"/>
  <c r="FJ142" i="1"/>
  <c r="FI142" i="1"/>
  <c r="FH142" i="1"/>
  <c r="FG142" i="1"/>
  <c r="FF142" i="1"/>
  <c r="FE142" i="1"/>
  <c r="FD142" i="1"/>
  <c r="FC142" i="1"/>
  <c r="FB142" i="1"/>
  <c r="FA142" i="1"/>
  <c r="EZ142" i="1"/>
  <c r="EY142" i="1"/>
  <c r="EX142" i="1"/>
  <c r="EW142" i="1"/>
  <c r="EV142" i="1"/>
  <c r="EU142" i="1"/>
  <c r="ET142" i="1"/>
  <c r="ES142" i="1"/>
  <c r="ER142" i="1"/>
  <c r="EQ142" i="1"/>
  <c r="EP142" i="1"/>
  <c r="EO142" i="1"/>
  <c r="EN142" i="1"/>
  <c r="EM142" i="1"/>
  <c r="EL142" i="1"/>
  <c r="EK142" i="1"/>
  <c r="EJ142" i="1"/>
  <c r="EI142" i="1"/>
  <c r="EH142" i="1"/>
  <c r="EG142" i="1"/>
  <c r="EF142" i="1"/>
  <c r="EE142" i="1"/>
  <c r="ED142" i="1"/>
  <c r="EC142" i="1"/>
  <c r="EB142" i="1"/>
  <c r="EA142" i="1"/>
  <c r="DZ142" i="1"/>
  <c r="DY142" i="1"/>
  <c r="DX142" i="1"/>
  <c r="DW142" i="1"/>
  <c r="DV142" i="1"/>
  <c r="DU142" i="1"/>
  <c r="DT142" i="1"/>
  <c r="DS142" i="1"/>
  <c r="DR142" i="1"/>
  <c r="DQ142" i="1"/>
  <c r="DP142" i="1"/>
  <c r="DO142" i="1"/>
  <c r="DN142" i="1"/>
  <c r="DM142" i="1"/>
  <c r="DL142" i="1"/>
  <c r="DK142" i="1"/>
  <c r="DJ142" i="1"/>
  <c r="DI142" i="1"/>
  <c r="DH142" i="1"/>
  <c r="DG142" i="1"/>
  <c r="DF142" i="1"/>
  <c r="DE142" i="1"/>
  <c r="DD142" i="1"/>
  <c r="DC142" i="1"/>
  <c r="DB142" i="1"/>
  <c r="DA142" i="1"/>
  <c r="CZ142" i="1"/>
  <c r="CY142" i="1"/>
  <c r="CX142" i="1"/>
  <c r="CW142" i="1"/>
  <c r="CV142" i="1"/>
  <c r="CU142" i="1"/>
  <c r="CT142" i="1"/>
  <c r="CS142" i="1"/>
  <c r="CR142" i="1"/>
  <c r="CQ142" i="1"/>
  <c r="CP142" i="1"/>
  <c r="CO142" i="1"/>
  <c r="CN142" i="1"/>
  <c r="CM142" i="1"/>
  <c r="CL142" i="1"/>
  <c r="CK142" i="1"/>
  <c r="CJ142" i="1"/>
  <c r="CI142" i="1"/>
  <c r="CH142" i="1"/>
  <c r="CG142" i="1"/>
  <c r="CF142" i="1"/>
  <c r="CE142" i="1"/>
  <c r="CD142" i="1"/>
  <c r="CC142" i="1"/>
  <c r="CB142" i="1"/>
  <c r="CA142" i="1"/>
  <c r="BZ142" i="1"/>
  <c r="BY142" i="1"/>
  <c r="K13" i="1" l="1"/>
  <c r="I12" i="1"/>
  <c r="I9" i="1" s="1"/>
  <c r="I8" i="1" s="1"/>
  <c r="I239" i="1" s="1"/>
  <c r="C74" i="1"/>
  <c r="M13" i="1" l="1"/>
  <c r="O13" i="1" s="1"/>
  <c r="O12" i="1" s="1"/>
  <c r="O9" i="1" s="1"/>
  <c r="O8" i="1" s="1"/>
  <c r="O239" i="1" s="1"/>
  <c r="K12" i="1"/>
  <c r="K9" i="1" s="1"/>
  <c r="K8" i="1" s="1"/>
  <c r="K239" i="1" s="1"/>
  <c r="C68" i="1"/>
  <c r="C129" i="1" s="1"/>
  <c r="E74" i="1"/>
  <c r="M12" i="1" l="1"/>
  <c r="M9" i="1" s="1"/>
  <c r="M8" i="1" s="1"/>
  <c r="M239" i="1" s="1"/>
  <c r="E68" i="1"/>
  <c r="E129" i="1" s="1"/>
  <c r="G74" i="1"/>
  <c r="C122" i="1"/>
  <c r="C128" i="1" s="1"/>
  <c r="C234" i="1" s="1"/>
  <c r="C236" i="1" s="1"/>
  <c r="C241" i="1"/>
  <c r="E122" i="1" l="1"/>
  <c r="E128" i="1" s="1"/>
  <c r="G68" i="1"/>
  <c r="G129" i="1" s="1"/>
  <c r="I74" i="1"/>
  <c r="E241" i="1"/>
  <c r="C250" i="1"/>
  <c r="C252" i="1"/>
  <c r="E250" i="1" l="1"/>
  <c r="E254" i="1" s="1"/>
  <c r="E252" i="1"/>
  <c r="I68" i="1"/>
  <c r="I129" i="1" s="1"/>
  <c r="G241" i="1"/>
  <c r="G122" i="1"/>
  <c r="G128" i="1" s="1"/>
  <c r="E234" i="1"/>
  <c r="E236" i="1" s="1"/>
  <c r="K74" i="1" l="1"/>
  <c r="K68" i="1" s="1"/>
  <c r="G252" i="1"/>
  <c r="G250" i="1"/>
  <c r="I241" i="1"/>
  <c r="I122" i="1"/>
  <c r="I128" i="1" s="1"/>
  <c r="I234" i="1" s="1"/>
  <c r="I236" i="1" s="1"/>
  <c r="G234" i="1"/>
  <c r="G236" i="1" s="1"/>
  <c r="I252" i="1" l="1"/>
  <c r="K122" i="1"/>
  <c r="K128" i="1" s="1"/>
  <c r="K241" i="1"/>
  <c r="K129" i="1"/>
  <c r="O74" i="1"/>
  <c r="O68" i="1" s="1"/>
  <c r="O241" i="1" s="1"/>
  <c r="M74" i="1"/>
  <c r="M68" i="1" s="1"/>
  <c r="I250" i="1"/>
  <c r="K252" i="1" l="1"/>
  <c r="K250" i="1"/>
  <c r="O122" i="1"/>
  <c r="O128" i="1" s="1"/>
  <c r="O234" i="1" s="1"/>
  <c r="O236" i="1" s="1"/>
  <c r="M129" i="1"/>
  <c r="M241" i="1"/>
  <c r="M122" i="1"/>
  <c r="M128" i="1" s="1"/>
  <c r="M234" i="1" s="1"/>
  <c r="M236" i="1" s="1"/>
  <c r="O252" i="1"/>
  <c r="O250" i="1"/>
  <c r="O129" i="1"/>
  <c r="K234" i="1"/>
  <c r="K236" i="1" s="1"/>
  <c r="M250" i="1" l="1"/>
  <c r="M252" i="1"/>
  <c r="C254" i="1" l="1"/>
  <c r="AM130" i="1" l="1"/>
  <c r="AM128" i="1"/>
  <c r="AM234" i="1" l="1"/>
  <c r="AM236" i="1" s="1"/>
  <c r="Y11" i="14"/>
  <c r="AM250" i="1"/>
  <c r="AM254" i="1" s="1"/>
  <c r="Y22" i="14" l="1"/>
  <c r="AM256" i="1"/>
  <c r="Y14" i="14"/>
  <c r="Y17" i="14"/>
  <c r="Y25" i="14" l="1"/>
  <c r="P21" i="17"/>
  <c r="Y20" i="14"/>
  <c r="Y26" i="14" s="1"/>
  <c r="Y27" i="14" s="1"/>
  <c r="Y15" i="14"/>
  <c r="R235" i="1"/>
  <c r="R248" i="1"/>
  <c r="AO127" i="1" s="1"/>
  <c r="AO124" i="1" s="1"/>
  <c r="AO123" i="1" s="1"/>
  <c r="AO247" i="1" l="1"/>
  <c r="AO129" i="1"/>
  <c r="AO128" i="1"/>
  <c r="AO234" i="1" s="1"/>
  <c r="D19" i="14"/>
  <c r="AA19" i="14" s="1"/>
  <c r="AO249" i="1"/>
  <c r="AO235" i="1"/>
  <c r="AO236" i="1" l="1"/>
  <c r="AA18" i="14"/>
  <c r="AO250" i="1"/>
  <c r="AO252" i="1"/>
  <c r="AA21" i="14" l="1"/>
  <c r="AA20" i="14"/>
  <c r="AA26" i="14" s="1"/>
  <c r="P24" i="17" l="1"/>
  <c r="B25" i="17"/>
  <c r="P25" i="17" s="1"/>
  <c r="T247" i="1"/>
  <c r="R247" i="1"/>
  <c r="S247" i="1"/>
  <c r="R137" i="1"/>
  <c r="T137" i="1"/>
  <c r="S137" i="1"/>
  <c r="R141" i="1" l="1"/>
  <c r="R234" i="1" s="1"/>
  <c r="R236" i="1" s="1"/>
  <c r="T246" i="1"/>
  <c r="T250" i="1" s="1"/>
  <c r="AQ254" i="1" s="1"/>
  <c r="T141" i="1"/>
  <c r="T234" i="1" s="1"/>
  <c r="T236" i="1" s="1"/>
  <c r="T142" i="1"/>
  <c r="S142" i="1"/>
  <c r="S141" i="1"/>
  <c r="S234" i="1" s="1"/>
  <c r="S236" i="1" s="1"/>
  <c r="S246" i="1"/>
  <c r="S252" i="1" s="1"/>
  <c r="AP255" i="1" s="1"/>
  <c r="AB24" i="14" s="1"/>
  <c r="R142" i="1"/>
  <c r="R246" i="1"/>
  <c r="T252" i="1" l="1"/>
  <c r="F21" i="14" s="1"/>
  <c r="F18" i="14"/>
  <c r="F20" i="14" s="1"/>
  <c r="F26" i="14" s="1"/>
  <c r="AC27" i="14" s="1"/>
  <c r="S250" i="1"/>
  <c r="AP254" i="1" s="1"/>
  <c r="E21" i="14"/>
  <c r="E18" i="14"/>
  <c r="E20" i="14" s="1"/>
  <c r="E26" i="14" s="1"/>
  <c r="AB27" i="14" s="1"/>
  <c r="R252" i="1"/>
  <c r="R250" i="1"/>
  <c r="AO254" i="1" s="1"/>
  <c r="D18" i="14"/>
  <c r="D20" i="14" s="1"/>
  <c r="D26" i="14" s="1"/>
  <c r="AA27" i="14" s="1"/>
  <c r="AQ255" i="1" l="1"/>
  <c r="AC24" i="14" s="1"/>
  <c r="P13" i="17"/>
  <c r="D21" i="14"/>
  <c r="AO255" i="1"/>
  <c r="AA24" i="14" s="1"/>
  <c r="Y38" i="1"/>
  <c r="Y9" i="1" s="1"/>
  <c r="Y8" i="1" s="1"/>
  <c r="Z38" i="1"/>
  <c r="Z9" i="1" s="1"/>
  <c r="Z8" i="1" s="1"/>
  <c r="Y122" i="1" l="1"/>
  <c r="Y128" i="1" s="1"/>
  <c r="Y234" i="1" s="1"/>
  <c r="Y236" i="1" s="1"/>
  <c r="Y239" i="1"/>
  <c r="Y129" i="1"/>
  <c r="Z239" i="1"/>
  <c r="Z129" i="1"/>
  <c r="Z122" i="1"/>
  <c r="Z128" i="1" l="1"/>
  <c r="Y252" i="1"/>
  <c r="K6" i="14"/>
  <c r="Y250" i="1"/>
  <c r="AV254" i="1" s="1"/>
  <c r="L6" i="14"/>
  <c r="Z252" i="1"/>
  <c r="Z250" i="1"/>
  <c r="AW254" i="1" s="1"/>
  <c r="Z234" i="1" l="1"/>
  <c r="Z236" i="1" s="1"/>
  <c r="L14" i="14"/>
  <c r="AI16" i="14"/>
  <c r="K14" i="14"/>
  <c r="AH16" i="14"/>
  <c r="L21" i="14"/>
  <c r="AW255" i="1"/>
  <c r="AI24" i="14" s="1"/>
  <c r="K21" i="14"/>
  <c r="AV255" i="1"/>
  <c r="AH24" i="14" s="1"/>
  <c r="AI15" i="14" l="1"/>
  <c r="L20" i="14"/>
  <c r="L26" i="14" s="1"/>
  <c r="AI27" i="14" s="1"/>
  <c r="K20" i="14"/>
  <c r="K26" i="14" s="1"/>
  <c r="AH27" i="14" s="1"/>
  <c r="AH15" i="14"/>
  <c r="P6" i="17"/>
  <c r="AI129" i="1" l="1"/>
  <c r="AI242" i="1"/>
  <c r="AI252" i="1" s="1"/>
  <c r="AI122" i="1"/>
  <c r="AI128" i="1" s="1"/>
  <c r="AI234" i="1" s="1"/>
  <c r="AI236" i="1" s="1"/>
  <c r="U9" i="14" l="1"/>
  <c r="R9" i="72" s="1"/>
  <c r="AI250" i="1"/>
  <c r="BF254" i="1" s="1"/>
  <c r="R14" i="72" l="1"/>
  <c r="BD16" i="72"/>
  <c r="BD15" i="72"/>
  <c r="R20" i="72"/>
  <c r="R26" i="72" s="1"/>
  <c r="BD27" i="72" s="1"/>
  <c r="U21" i="14"/>
  <c r="R21" i="72" s="1"/>
  <c r="BF255" i="1"/>
  <c r="AR24" i="14" s="1"/>
  <c r="BD24" i="72" s="1"/>
  <c r="AR16" i="14"/>
  <c r="U14" i="14"/>
  <c r="B14" i="17" l="1"/>
  <c r="P14" i="17" s="1"/>
  <c r="P9" i="17"/>
  <c r="AR15" i="14"/>
  <c r="U20" i="14"/>
  <c r="U26" i="14" s="1"/>
  <c r="AR27" i="14" s="1"/>
</calcChain>
</file>

<file path=xl/sharedStrings.xml><?xml version="1.0" encoding="utf-8"?>
<sst xmlns="http://schemas.openxmlformats.org/spreadsheetml/2006/main" count="2257" uniqueCount="1068">
  <si>
    <t>2. melléklet</t>
  </si>
  <si>
    <t xml:space="preserve">Kiskunfélegyháza Város Önkormányzata  </t>
  </si>
  <si>
    <t>BEVÉTELEK</t>
  </si>
  <si>
    <t>KIADÁSOK</t>
  </si>
  <si>
    <t>rovatszám szerint</t>
  </si>
  <si>
    <t>eredeti ei.</t>
  </si>
  <si>
    <t>zás</t>
  </si>
  <si>
    <t>ei.</t>
  </si>
  <si>
    <t xml:space="preserve">KISKUNFÉLEGYHÁZA VÁROS ÖNKORMÁNYZATA   </t>
  </si>
  <si>
    <t>1. Működési célú támogatások államháztartáson belülről</t>
  </si>
  <si>
    <t>1. Személyi juttatások</t>
  </si>
  <si>
    <t xml:space="preserve">    11. Önkormányzatok működési támogatásai</t>
  </si>
  <si>
    <t>2. Munkaadókat terhelő járulékok</t>
  </si>
  <si>
    <t xml:space="preserve">          111. Helyi önkormányzatok működésének általános támogatása</t>
  </si>
  <si>
    <t>3. Dologi kiadások</t>
  </si>
  <si>
    <t xml:space="preserve">          112. Települési önkormányzatok egyes köznevelési feladatainak tám.</t>
  </si>
  <si>
    <t>4. Ellátottak pénzbeli juttatásai</t>
  </si>
  <si>
    <t xml:space="preserve">          113. Települési önkormányzatok szoc.és gyermekjóléti felad. tám.</t>
  </si>
  <si>
    <t>5. Egyéb működési célú kiadások</t>
  </si>
  <si>
    <t xml:space="preserve">    502. Előző évi elszámolásból származó kiad.</t>
  </si>
  <si>
    <t xml:space="preserve">    506. Egyéb működési célú támogatások államháztartáson belülre</t>
  </si>
  <si>
    <t xml:space="preserve">    512. Egyéb működési célú támogatások államháztartáson kívülre</t>
  </si>
  <si>
    <t xml:space="preserve">          114. Települési önkormányzatok kulturális feladatainak támogatása </t>
  </si>
  <si>
    <t xml:space="preserve">                  1141. Települési önkormányzatok kulturális feladatainak támogatása </t>
  </si>
  <si>
    <t xml:space="preserve">                  1142. Kulturális illetmény pótlék</t>
  </si>
  <si>
    <t xml:space="preserve">                  1143. Könyvtári érdekeltségnövelő támogatás</t>
  </si>
  <si>
    <t xml:space="preserve">          115. Működési célú költségvetési támogatások és kiegészítő tám.</t>
  </si>
  <si>
    <t xml:space="preserve">          116. Elszámolásból származó bevételek</t>
  </si>
  <si>
    <t xml:space="preserve">          117. Minimálbér és bérminimum emelés miatt</t>
  </si>
  <si>
    <t xml:space="preserve">          121. KVI-től vállalkozási tevékenységét terhelő befizetési köt.</t>
  </si>
  <si>
    <t xml:space="preserve">              16101. Természetbeli támogatások (Erzsébet utalvány)</t>
  </si>
  <si>
    <t xml:space="preserve">              16102. Egyes rendszeres gyermekvéd.kedvezm.jogosult gyerm.utáni pbeli ell.</t>
  </si>
  <si>
    <t xml:space="preserve">              16103. Nemzeti Foglalkoztatási Alap (közfoglalkoztatásra)</t>
  </si>
  <si>
    <t xml:space="preserve">              16104. Mezei Őrszolgálat működéséhez</t>
  </si>
  <si>
    <t xml:space="preserve">              16105. Nyári diákmunka (100 %)</t>
  </si>
  <si>
    <t xml:space="preserve">          163. Köztemetésre önkormányzatoktól térítés</t>
  </si>
  <si>
    <t>2. Felhalmozási célú támogatások áht-n belülről</t>
  </si>
  <si>
    <t>6. Beruházási kiadások</t>
  </si>
  <si>
    <t xml:space="preserve">    21. Felhalmozási célú önkormányzati támogatások</t>
  </si>
  <si>
    <t>7. Felújítási kiadások</t>
  </si>
  <si>
    <t>8. Egyéb felhalmozási célú kiadások</t>
  </si>
  <si>
    <t xml:space="preserve">   84. Egyéb felhalmozási célú támogatások államháztartáson belülre</t>
  </si>
  <si>
    <t xml:space="preserve">   86. Felhalmozási célú visszatérítendő tám. kölcsönök áht-n kívülre</t>
  </si>
  <si>
    <t xml:space="preserve">    25. Egyéb felhalm. célú tám. bevételei áht-n belülről</t>
  </si>
  <si>
    <t xml:space="preserve">          251. Egyéb fejezeti kezelésű előirányzatoktól</t>
  </si>
  <si>
    <t>3. Közhatalmi bevételek</t>
  </si>
  <si>
    <t xml:space="preserve">    31. Jövedelemadó</t>
  </si>
  <si>
    <t xml:space="preserve">          311. Magánszemélyek jövedelemadói</t>
  </si>
  <si>
    <t xml:space="preserve">                  3111. Termőföld bérbeadásából származó jöv.utáni SZJA</t>
  </si>
  <si>
    <t xml:space="preserve">     34. Vagyon típusú adók</t>
  </si>
  <si>
    <t xml:space="preserve">            341. Építményadó</t>
  </si>
  <si>
    <t xml:space="preserve">      35. Termékek és szolgáltatások adója</t>
  </si>
  <si>
    <t xml:space="preserve">            351. Értékesítési és forgalmi adók </t>
  </si>
  <si>
    <t xml:space="preserve">            3511. Állandó jelleggel végzett iparűzési tevékenység után fizetett adó</t>
  </si>
  <si>
    <t xml:space="preserve">            354. Gépjárműadó önkormányzatot megillető része</t>
  </si>
  <si>
    <t xml:space="preserve">            355. Egyéb áruhasználati és szolgáltatási adók</t>
  </si>
  <si>
    <t xml:space="preserve">        36. Egyéb közhatalmi bevételek</t>
  </si>
  <si>
    <t xml:space="preserve">             361. Szabálysértési, egyéb bírság</t>
  </si>
  <si>
    <t xml:space="preserve">             363. Talajterhelési díj</t>
  </si>
  <si>
    <t>4. Működési bevételek</t>
  </si>
  <si>
    <t xml:space="preserve">    401. Áru és készletértékesítés </t>
  </si>
  <si>
    <t xml:space="preserve">    402. Szolgáltatások ellenértéke</t>
  </si>
  <si>
    <t xml:space="preserve">    403. Közvetített szolgáltatások áht-n kívül (bérlakások közös ktg, Ipari park)</t>
  </si>
  <si>
    <t xml:space="preserve">    404. Tulajdonosi bevételek </t>
  </si>
  <si>
    <t xml:space="preserve">            4041. Önkormányzati vagyon üzemeltetésbe adásából származó bev.</t>
  </si>
  <si>
    <t xml:space="preserve">    406. Kiszámlázott termékek ÁFA-ja</t>
  </si>
  <si>
    <t xml:space="preserve">    407. ÁFA visszatérülések</t>
  </si>
  <si>
    <t>5. Felhalmozási bevételek</t>
  </si>
  <si>
    <t xml:space="preserve">    51. Ingatlanok értékesítése</t>
  </si>
  <si>
    <t xml:space="preserve">          511. Ingatlanértékesítés</t>
  </si>
  <si>
    <t>6. Működési célú átvett pénzeszközök</t>
  </si>
  <si>
    <t xml:space="preserve">          652. Európai Uniótól (külkapcsolat)</t>
  </si>
  <si>
    <t>7. Felhalmozási célú átvett pénzeszközök</t>
  </si>
  <si>
    <t xml:space="preserve">    74. Felhalmozási visszatér. kölcsönök áht-n kívülről</t>
  </si>
  <si>
    <t xml:space="preserve">          741. Munkáltatói kölcsönök</t>
  </si>
  <si>
    <t xml:space="preserve">          742. Önkormányzati lakástám.</t>
  </si>
  <si>
    <t xml:space="preserve">          743. Lakásértékesítés törlesztés</t>
  </si>
  <si>
    <t>KÖLTSÉGVETÉSI BEVÉTELEK</t>
  </si>
  <si>
    <t>KÖLTSÉGVETÉSI KIADÁSOK</t>
  </si>
  <si>
    <t>8. Finanszírozási bevételek</t>
  </si>
  <si>
    <t>9. Finanszírozási kiadások</t>
  </si>
  <si>
    <t xml:space="preserve">   812. Belföldi értékpapírok bevételei</t>
  </si>
  <si>
    <t xml:space="preserve">    91. Belföldi finanszírozás kiadásai </t>
  </si>
  <si>
    <t xml:space="preserve">         912. Belföldi értékpapírok kiadásai</t>
  </si>
  <si>
    <t xml:space="preserve">    813. Maradvány igénybevétele</t>
  </si>
  <si>
    <t xml:space="preserve">           8131. Maradvány igénybevétele </t>
  </si>
  <si>
    <t xml:space="preserve">BEVÉTELEK ÖSSZESEN </t>
  </si>
  <si>
    <t xml:space="preserve">KIADÁSOK ÖSSZESEN </t>
  </si>
  <si>
    <t>ebből: működési bevétel</t>
  </si>
  <si>
    <t>ebből: működési kiadás</t>
  </si>
  <si>
    <t xml:space="preserve">           felhalmozási bevétel</t>
  </si>
  <si>
    <t xml:space="preserve">           felhalmozási kiadás</t>
  </si>
  <si>
    <t>KISKUNFÉLEGYHÁZI POLGÁRMESTERI HIVATAL</t>
  </si>
  <si>
    <t xml:space="preserve">    8131.Maradvány igénybevétele</t>
  </si>
  <si>
    <t xml:space="preserve">6. Beruházási kiadások </t>
  </si>
  <si>
    <t xml:space="preserve">    816. Központi irányítószervi támogatás </t>
  </si>
  <si>
    <t>BEVÉTELEK ÖSSZESEN</t>
  </si>
  <si>
    <t>KIADÁSOK ÖSSZESEN</t>
  </si>
  <si>
    <t>KISKUNFÉLEGYHÁZI NAPKÖZIOTTHONOS ÓVODA</t>
  </si>
  <si>
    <t>KAPOCS SZOCIÁLIS ÉS GYERMEKVÉDELMI INTÉZMÉNY</t>
  </si>
  <si>
    <t xml:space="preserve">KISKUNFÉLEGYHÁZI PETŐFI SÁNDOR VÁROSI KÖNYVTÁR </t>
  </si>
  <si>
    <t>MÓRA FERENC MŰVELŐDÉSI KÖZPONT</t>
  </si>
  <si>
    <t>KISKUNFÉLEGYHÁZI VÉDŐNŐI SZOLGÁLAT</t>
  </si>
  <si>
    <t>SZIVÁRVÁNY SZEMÉLYES GONDOSKODÁST NYÚJTÓ INTÉZMÉNY</t>
  </si>
  <si>
    <t>KISKUNFÉLEGYHÁZA VÁROS ÖNKORMÁNYZATÁNAK KISKUN MÚZEUMA</t>
  </si>
  <si>
    <t>INTÉZMÉNYEK ÖSSZESEN</t>
  </si>
  <si>
    <t>LE: IRÁNYÍTÓ SZERVI TÁMOGATÁS</t>
  </si>
  <si>
    <t>Le: Központi irányító szervi támogatás</t>
  </si>
  <si>
    <t>Bevételek összesen</t>
  </si>
  <si>
    <t>Kiadások összesen</t>
  </si>
  <si>
    <t>ebből: működési bevételek</t>
  </si>
  <si>
    <t>ebből: működési kiadások</t>
  </si>
  <si>
    <t xml:space="preserve">          felhalmozási bevételek</t>
  </si>
  <si>
    <t xml:space="preserve">         felhalmozási kiadások</t>
  </si>
  <si>
    <t>Tárgyévi költségvetési bevételek és kiadások egyenlege (hiány, többlet)</t>
  </si>
  <si>
    <t>Működési költségvetés egyenlege</t>
  </si>
  <si>
    <t>Felhalmozási költségvetés egyenlege</t>
  </si>
  <si>
    <t>pénzmaradványból: működés</t>
  </si>
  <si>
    <t>pénzmaradványból: felhalmozás</t>
  </si>
  <si>
    <t>me: ezer Ft</t>
  </si>
  <si>
    <t>MEGNEVEZÉS</t>
  </si>
  <si>
    <t>Dologi kiadás</t>
  </si>
  <si>
    <t>Összesen</t>
  </si>
  <si>
    <t>Önkormányzati igazgatás</t>
  </si>
  <si>
    <t>Önkormányzati jogalkotói tevékenység (polgármester, alpolgármester, képviselők, biz.tagok)</t>
  </si>
  <si>
    <t>Külkapcsolatok kiadásai</t>
  </si>
  <si>
    <t>Szemünk fénye program</t>
  </si>
  <si>
    <t>SOS Gyermekfalu 291/2015. önk.hat. (2016-ban pe. átadáson tervezve)</t>
  </si>
  <si>
    <t xml:space="preserve">Kültéri Wifi hálózat szolgáltatás - Polgármesteri Hivatal épületétől a Kossuth utca Dózsa György utcáig terjedő szakaszán </t>
  </si>
  <si>
    <t>Start munkaprogram</t>
  </si>
  <si>
    <t>Hosszabb időtartamú közfoglalkoztatás</t>
  </si>
  <si>
    <t>Közfoglalkoztatás - Országos program</t>
  </si>
  <si>
    <t>Diákmunka</t>
  </si>
  <si>
    <t>Városüzemeltetési feladat kiadásai</t>
  </si>
  <si>
    <t>Városgazdálkodás kiadásai</t>
  </si>
  <si>
    <t>Út, járda, kerékpárutak üzemeltetés feladatai</t>
  </si>
  <si>
    <t>Csapadékvíz elvezetés, csatornák üzemeltetése</t>
  </si>
  <si>
    <t>Parkfenntárs, zöldfelület kezelés</t>
  </si>
  <si>
    <t>Települési vízellátás, közkifolyók</t>
  </si>
  <si>
    <t>Termőföld bérbeadás</t>
  </si>
  <si>
    <t>Közvilágítás</t>
  </si>
  <si>
    <t>Parkolóőrök</t>
  </si>
  <si>
    <t>Városgazdálkodás tartaléka, előre nem látható feladatok</t>
  </si>
  <si>
    <t>Intézménygazdálkodás - részjogkörrel összefüggő kiadásai</t>
  </si>
  <si>
    <t>KÖNYVTÁRI szolgáltatások</t>
  </si>
  <si>
    <t>MÚZEUM gyűjteményi tevékenységek</t>
  </si>
  <si>
    <t>MŰVELŐDÉSI KÖZPONT szolgáltatásai</t>
  </si>
  <si>
    <t>Óvodai nevelés, ellátás működtetési feladatai</t>
  </si>
  <si>
    <t>Ingatlan vagyongazdálkodás</t>
  </si>
  <si>
    <t>volt Kommendáns Hivatal üzemeltetési kiadásai, Aranyhegyi iskola karb.anyag</t>
  </si>
  <si>
    <t>volt honvédségi ingatlanok közüzemi díjak, közvetített szolg. - Izsáki 1/c, Kossuth 12, Kossuth 35.</t>
  </si>
  <si>
    <t xml:space="preserve">Közvetített szolgáltatás: önkorm.bérlakások közös ktg.  </t>
  </si>
  <si>
    <t>Közvetített szolgáltatás nem lakás célú helyiségek</t>
  </si>
  <si>
    <t xml:space="preserve">Asztalitenisz SI üzemeltetési kiadásai </t>
  </si>
  <si>
    <t xml:space="preserve">Takarító bére és járulékai </t>
  </si>
  <si>
    <t>Karbantartási kiadások: nem lakás célú helyiségek</t>
  </si>
  <si>
    <t>Karbantartási kiadások: bérlakások</t>
  </si>
  <si>
    <t>Karbantartási kiadások: 2*23 bérlakás</t>
  </si>
  <si>
    <t>Közzétételi díjak, árverési hirdetmények, pályázati felhívások</t>
  </si>
  <si>
    <t>Szakértői díjak, értékbecslések</t>
  </si>
  <si>
    <t>Tulajdoni lapok, vázrajzok, telekmegosztás, főépítész településrend.tervek, térkép éves haszn. díj</t>
  </si>
  <si>
    <t>Repülőtér földterület bérlet (MNV Zrt)</t>
  </si>
  <si>
    <t>Biztosítás (vagyon kötelező biztosítás)</t>
  </si>
  <si>
    <t>Tiszaalpári és Kemencei üdülők</t>
  </si>
  <si>
    <t>Haleszi orvosi rendelő üzemeltetése</t>
  </si>
  <si>
    <t>Tourinform Iroda működtetése</t>
  </si>
  <si>
    <t xml:space="preserve">GYIÖK működtetési költségei </t>
  </si>
  <si>
    <t>Kiemelt városi rendezvények</t>
  </si>
  <si>
    <t>TOP 5.2.1-15-BK1-2016-00002. Új csillag születik prg.</t>
  </si>
  <si>
    <t>ÖSSZESEN</t>
  </si>
  <si>
    <t>Megnevezés</t>
  </si>
  <si>
    <t>Tám.( %)</t>
  </si>
  <si>
    <t>Személyi juttatás</t>
  </si>
  <si>
    <t>M.adót terh.jár.</t>
  </si>
  <si>
    <t>Ellátottak pénzbeli juttatásai</t>
  </si>
  <si>
    <t>Kis értékű eszközök</t>
  </si>
  <si>
    <t>Egyéb, nem intézményi ellátások</t>
  </si>
  <si>
    <t>Köztemetés (Szoctv. 48. §)</t>
  </si>
  <si>
    <t>Települési támogatások: (Szoctv. 45.§)</t>
  </si>
  <si>
    <t>Élelmiszer utalvány</t>
  </si>
  <si>
    <t>Nagycsaládosok támogatása</t>
  </si>
  <si>
    <t>Újszülöttek támogatása</t>
  </si>
  <si>
    <t>Lakásfenntartási támogatás</t>
  </si>
  <si>
    <t>Kedvezményes belépőjegy</t>
  </si>
  <si>
    <t>Hátrányos helyzetű gyermekek reggeli étkeztetése</t>
  </si>
  <si>
    <t>Pénzbeli önkormányzati segélyek: Kórházi ellátásra, temetésre, elemi kárra, várandós anya megsegítésére, gyermek fogadásának előkészítéséhez, nevelésbe vett gyermek kapcsolattartásához, gyermek családba való visszakerülésének elősegítéséhez stb.</t>
  </si>
  <si>
    <t>Szociális tűzifa támogatás</t>
  </si>
  <si>
    <t>Nem intézményi ellátások összesen</t>
  </si>
  <si>
    <t>Közfoglalkoztatás (országos hajléktalan)</t>
  </si>
  <si>
    <t>Közfoglalkoztatás (hosszú idejű)</t>
  </si>
  <si>
    <t>Közfoglalkoztatás (Startmunka)</t>
  </si>
  <si>
    <t>Nyári diákmunka</t>
  </si>
  <si>
    <t>MINDÖSSZESEN:</t>
  </si>
  <si>
    <t>Egyéb működési kiadások</t>
  </si>
  <si>
    <t>2. sz. melléklet 5. sor részletezése</t>
  </si>
  <si>
    <t>Kiemelt előirányzat-csoport</t>
  </si>
  <si>
    <t xml:space="preserve">       n e v e   -   s z á m a</t>
  </si>
  <si>
    <t>Verseny és tömegsport támogatása - MSZB hatáskör</t>
  </si>
  <si>
    <t>Sport rendezvények</t>
  </si>
  <si>
    <t>Civil szervezetek támogatása  - MSZB hatáskör</t>
  </si>
  <si>
    <t xml:space="preserve">Egyéb szervezetek támogatása </t>
  </si>
  <si>
    <t>Alapítványok támogatása</t>
  </si>
  <si>
    <t>Félegyházi Közlöny működtetéséhez</t>
  </si>
  <si>
    <t>506. Egyéb működési célú támogatások államháztartáson belülre</t>
  </si>
  <si>
    <t xml:space="preserve"> ÖSSZESEN</t>
  </si>
  <si>
    <t>Egyéb felhalmozási kiadások</t>
  </si>
  <si>
    <t>2. sz. melléklet 8. sor részletezése</t>
  </si>
  <si>
    <t>Szociális lakástámogatás</t>
  </si>
  <si>
    <t xml:space="preserve">Kiemelt előirányzat-csoport </t>
  </si>
  <si>
    <t>n e v e  -  s z á m a</t>
  </si>
  <si>
    <t xml:space="preserve">Polgármesteri keret </t>
  </si>
  <si>
    <t>Hóeltakarítás (külterület)</t>
  </si>
  <si>
    <t>Háztartási szennyvíz ártalmatlanítása - kötött felh. áll. tám.</t>
  </si>
  <si>
    <t>Ebből: működés</t>
  </si>
  <si>
    <t xml:space="preserve">           felhalmozás</t>
  </si>
  <si>
    <t>Európai uniós támogatással megvalósuló projektek</t>
  </si>
  <si>
    <t>Támogatás intenzitása: 100%:</t>
  </si>
  <si>
    <r>
      <t xml:space="preserve">Támogatási szerződés szerinti összegek </t>
    </r>
    <r>
      <rPr>
        <b/>
        <sz val="12"/>
        <rFont val="Times New Roman"/>
        <family val="1"/>
        <charset val="238"/>
      </rPr>
      <t>eFt-ban</t>
    </r>
  </si>
  <si>
    <t>Tervezett kiadások</t>
  </si>
  <si>
    <t>Személyi juttatások</t>
  </si>
  <si>
    <t>saját erő</t>
  </si>
  <si>
    <t>Munkáltatót terhelő járulékok</t>
  </si>
  <si>
    <t>Dologi kiadások</t>
  </si>
  <si>
    <t>támogatás</t>
  </si>
  <si>
    <t>Beruházási kiadások</t>
  </si>
  <si>
    <t>ebből: eu. támogatás</t>
  </si>
  <si>
    <t xml:space="preserve">           hazai társfinanszírozás</t>
  </si>
  <si>
    <t>Összes támogatás</t>
  </si>
  <si>
    <t>Kiskunfélegyháza Város Önkormányzata</t>
  </si>
  <si>
    <t>12. melléklet</t>
  </si>
  <si>
    <t>Kimutatás</t>
  </si>
  <si>
    <t>a közvetett támogatásokról, elengedett adókról, kedvezményekről</t>
  </si>
  <si>
    <t>Címe</t>
  </si>
  <si>
    <t>m2</t>
  </si>
  <si>
    <t>egyéb</t>
  </si>
  <si>
    <t>e/Ft/év</t>
  </si>
  <si>
    <t>iroda</t>
  </si>
  <si>
    <t>Asztalos J. u. 20/1.</t>
  </si>
  <si>
    <t>garázs</t>
  </si>
  <si>
    <t>Kossuth u. 35.</t>
  </si>
  <si>
    <t>edzőterem</t>
  </si>
  <si>
    <t>raktár</t>
  </si>
  <si>
    <t>Fúvószenekari Egyesület</t>
  </si>
  <si>
    <t xml:space="preserve">hrsz.:0233/3 </t>
  </si>
  <si>
    <t xml:space="preserve">1 ha 2214 </t>
  </si>
  <si>
    <t>volt területi ált.iskola</t>
  </si>
  <si>
    <t>Padkaporos Táncegyüttes</t>
  </si>
  <si>
    <t>Petőfi tér 2.</t>
  </si>
  <si>
    <t xml:space="preserve">    Ezen civil szervezeteket</t>
  </si>
  <si>
    <t>Blaha L. tér 1.</t>
  </si>
  <si>
    <t>közösségi helyis.</t>
  </si>
  <si>
    <t xml:space="preserve">    kívánja támogatni</t>
  </si>
  <si>
    <t>Amatőr Királyi Szakács Klub</t>
  </si>
  <si>
    <t>Asztalos J. u. 28.</t>
  </si>
  <si>
    <t>Kkfházi Nyugdíjas Klubok Egyesülete</t>
  </si>
  <si>
    <t>Kossuth u. 12.</t>
  </si>
  <si>
    <t>Nagyszőlő úti Gazdakör</t>
  </si>
  <si>
    <t>0415/16. hrsz.</t>
  </si>
  <si>
    <t>közösségi ház</t>
  </si>
  <si>
    <t>hrsz: 0653/37</t>
  </si>
  <si>
    <t>menhely</t>
  </si>
  <si>
    <t>Haleszi Gazdakör</t>
  </si>
  <si>
    <t>hrsz:7601</t>
  </si>
  <si>
    <t>közösségi ing.</t>
  </si>
  <si>
    <t>Kossuth u. 29-31</t>
  </si>
  <si>
    <t>iskola+óvoda</t>
  </si>
  <si>
    <t>Szt István Plébánia</t>
  </si>
  <si>
    <t>Dr. Holló L. u. 11.</t>
  </si>
  <si>
    <t>Római Katolikus Plébánia</t>
  </si>
  <si>
    <t>Jókai u. 1.</t>
  </si>
  <si>
    <t>Magyar Máltai Szeretetszolgálat</t>
  </si>
  <si>
    <t>Móra tér 11.</t>
  </si>
  <si>
    <t>Civil Szövetség</t>
  </si>
  <si>
    <t>Bajza u. 36.</t>
  </si>
  <si>
    <t xml:space="preserve">Adó és díjbevétel kiesés  </t>
  </si>
  <si>
    <t>Adónem</t>
  </si>
  <si>
    <t>Összeg e/Ft-ban</t>
  </si>
  <si>
    <t>Építményadó</t>
  </si>
  <si>
    <t>Helyi adórendeletben biztosított kedvezm.</t>
  </si>
  <si>
    <t>Talajterhelési díj</t>
  </si>
  <si>
    <t>Iparűzési adó</t>
  </si>
  <si>
    <t>utidíj beszámítás miatt</t>
  </si>
  <si>
    <t>Helyi iparűzési adó</t>
  </si>
  <si>
    <t>Többéves kihatással járó döntések számszerűsítése feladatonként</t>
  </si>
  <si>
    <t>2019.</t>
  </si>
  <si>
    <t>1.</t>
  </si>
  <si>
    <t>Szemünk fénye - világításkorszerűsítés Caminus Zrt (2022. december 1-ig)</t>
  </si>
  <si>
    <t>Csatornahálózat üzemeltetése (2025. október 1-ig)</t>
  </si>
  <si>
    <t>1. sz. melléklet</t>
  </si>
  <si>
    <t>Tárgyévi költségvetési bevételek</t>
  </si>
  <si>
    <t>Tárgyévi költségvetési kiadások</t>
  </si>
  <si>
    <t>Tárgyévi költségvetési bevételek és kiadások egyenlege</t>
  </si>
  <si>
    <t>ebből: központi irányítószervi támogatás</t>
  </si>
  <si>
    <t xml:space="preserve">           felhalmozási bevételek</t>
  </si>
  <si>
    <t xml:space="preserve">           felhalmozási kiadások</t>
  </si>
  <si>
    <t>Bevételek központi irányítószervi támogatás nélkül</t>
  </si>
  <si>
    <t>Kiadások központi irányítószervi támogatás nélkül</t>
  </si>
  <si>
    <t>Kiskunfélegyháza Nemzetiségi Önkormányzat 2012. évi költségvetési mérlege</t>
  </si>
  <si>
    <t>Önkormányzati támogatás</t>
  </si>
  <si>
    <t>2012. évi normatív támogatás</t>
  </si>
  <si>
    <t>Munkaadót terhelő járulék</t>
  </si>
  <si>
    <t>Működési célú pénzmaradvány</t>
  </si>
  <si>
    <t>3. melléklet</t>
  </si>
  <si>
    <t>me: fő</t>
  </si>
  <si>
    <t>Intézmény</t>
  </si>
  <si>
    <t>Létszám</t>
  </si>
  <si>
    <t>szakmai</t>
  </si>
  <si>
    <t>változás</t>
  </si>
  <si>
    <t>technikai</t>
  </si>
  <si>
    <t>összesen</t>
  </si>
  <si>
    <t xml:space="preserve">Kiskunfélegyházi Napköziotthonos Óvoda </t>
  </si>
  <si>
    <t xml:space="preserve">Kiskunfélegyházi Petőfi Sándor Városi Könyvtár </t>
  </si>
  <si>
    <t>Móra Ferenc Művelődési Központ</t>
  </si>
  <si>
    <t>Kapocs Szociális és Gyermekvédelmi Intézmény</t>
  </si>
  <si>
    <t>Kiskunfélegyháza Város Önkormányzatának Kiskun Múzeuma</t>
  </si>
  <si>
    <t>Kiskunfélegyházi Védőnői Szolgálat</t>
  </si>
  <si>
    <t>Szivárvány Személyes Gondoskodást Nyújtó Intézmény</t>
  </si>
  <si>
    <t>Feladatellátáshoz szükséges további létszámok</t>
  </si>
  <si>
    <t>Önkormányzat - tisztségviselői: polgármester, alpolgármester</t>
  </si>
  <si>
    <t>Önkormányzat - 3 parkoló őr</t>
  </si>
  <si>
    <t>Önkormányzat - ingatlankezelés 1 fő takarító</t>
  </si>
  <si>
    <t xml:space="preserve">Önkormányzat - Közfoglalkoztatottak létszámterve </t>
  </si>
  <si>
    <t>Önkormányzat összesen</t>
  </si>
  <si>
    <t>Feladatellátáshoz szükséges további létszám összesen</t>
  </si>
  <si>
    <t>11 melléklet</t>
  </si>
  <si>
    <t>Kölcsönök lejárat szerinti bontása</t>
  </si>
  <si>
    <t>me: ezer forint</t>
  </si>
  <si>
    <t>Állomány</t>
  </si>
  <si>
    <t>Törlesztés</t>
  </si>
  <si>
    <t>Önkormányzati lakástámogatás</t>
  </si>
  <si>
    <t>Munkáltatói támogatás</t>
  </si>
  <si>
    <t>Önkormányzati lakásértékesítés</t>
  </si>
  <si>
    <t>Az önkormányzat kezességvállalása</t>
  </si>
  <si>
    <t>Kezességvállalás</t>
  </si>
  <si>
    <t>Összeg</t>
  </si>
  <si>
    <t>Bevételi cím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</si>
  <si>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</si>
  <si>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</si>
  <si>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</si>
  <si>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</si>
  <si>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</si>
  <si>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</si>
  <si>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</si>
  <si>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</si>
  <si>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</si>
  <si>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</si>
  <si>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</si>
  <si>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</si>
  <si>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>h ó n a p o k</t>
  </si>
  <si>
    <t>1. Működési célú támogatások áht-n belülről</t>
  </si>
  <si>
    <t>4. Pénzbeli és természetbeni szociális ellátások</t>
  </si>
  <si>
    <t>Foglalkozás-egészségügyi alapellátás (734 fő)</t>
  </si>
  <si>
    <t>pénzma-radvány</t>
  </si>
  <si>
    <t>Kiskun Múzeum</t>
  </si>
  <si>
    <t>Polgármesteri Hivatal</t>
  </si>
  <si>
    <t>Védőnői Szolgálat</t>
  </si>
  <si>
    <t>Napköziotthonos Óvoda</t>
  </si>
  <si>
    <t>MINDÖSSZESEN</t>
  </si>
  <si>
    <t>Közfoglalkoztatással és egyéb foglalkoztatással összefüggő kiadások</t>
  </si>
  <si>
    <t>TOP 1.4.1-15-BK1-2016-0010 - Móra utcai óvoda fejl.</t>
  </si>
  <si>
    <t>Kiskunfélegyházi Képző és Iparművészeti Közhasznú Egyesület</t>
  </si>
  <si>
    <t>2.</t>
  </si>
  <si>
    <t>4.</t>
  </si>
  <si>
    <t>3.</t>
  </si>
  <si>
    <t>5.</t>
  </si>
  <si>
    <t>6.</t>
  </si>
  <si>
    <t>7.</t>
  </si>
  <si>
    <t>8.</t>
  </si>
  <si>
    <t>9.</t>
  </si>
  <si>
    <t>10.</t>
  </si>
  <si>
    <t>11.</t>
  </si>
  <si>
    <t>Petőfi S. Polgárőr Egyesület</t>
  </si>
  <si>
    <t>Diáksport támogatása - MSZB hatáskör</t>
  </si>
  <si>
    <t>Kulturális események finanszírozása</t>
  </si>
  <si>
    <t>Viziközmű Társulattól átvett feladatok (érd.hj.vfiz)</t>
  </si>
  <si>
    <t>2/a.  melléklet</t>
  </si>
  <si>
    <t>Önkormányzati feladatellátás megbontása kötelező, nem kötelező feladatokra</t>
  </si>
  <si>
    <t>INTÉZMÉNY</t>
  </si>
  <si>
    <t>Kötelező feladatok</t>
  </si>
  <si>
    <t>Önként vállalt feladatok</t>
  </si>
  <si>
    <t>MINDÖSZ-SZESEN</t>
  </si>
  <si>
    <t>bevételek összetétele</t>
  </si>
  <si>
    <t>kiadások összetétele</t>
  </si>
  <si>
    <t>mc.tám.áht-n belülről</t>
  </si>
  <si>
    <t>pályázati forrás, átvett pe., egyéb</t>
  </si>
  <si>
    <t>önk. saját erő</t>
  </si>
  <si>
    <t>szem.j.</t>
  </si>
  <si>
    <t>m.adó</t>
  </si>
  <si>
    <t>dologi + egyéb</t>
  </si>
  <si>
    <t>felhalm.</t>
  </si>
  <si>
    <t>közp.kvi tám.</t>
  </si>
  <si>
    <t>pályázati forrás, átvett pe., v.ig.ÁFA</t>
  </si>
  <si>
    <t>intézmény saját bevétel</t>
  </si>
  <si>
    <t>Kiskunfélegyházi Napköziotthonos Óvoda</t>
  </si>
  <si>
    <t>Petőfi S. Városi Könyvtár</t>
  </si>
  <si>
    <t>Móra F. Művelődési Ház</t>
  </si>
  <si>
    <t>Kapocs Szoc. és Gyerrmekvéd. Intézmény</t>
  </si>
  <si>
    <t>Szivárvány Szem. G. Ny. Int.</t>
  </si>
  <si>
    <t>időskorúak tartós bentlakásos szoc.ell.</t>
  </si>
  <si>
    <t>tanyagondnoki szolgálat</t>
  </si>
  <si>
    <t>jelzőrendszeres házi segítségnyújtás</t>
  </si>
  <si>
    <t>Mezei Őrszolgálat</t>
  </si>
  <si>
    <t>Önkormányzat</t>
  </si>
  <si>
    <t>Pénzeszköz átadások</t>
  </si>
  <si>
    <t>GYIÖK működtetése</t>
  </si>
  <si>
    <t>Üdülő, szálláshely</t>
  </si>
  <si>
    <t>Ipari park.</t>
  </si>
  <si>
    <t>Tourinform Iroda</t>
  </si>
  <si>
    <t xml:space="preserve">    65. Egyéb működési célú átvett pe. </t>
  </si>
  <si>
    <t xml:space="preserve">           8123. Éven belüli lejáratú állampapírok beváltása</t>
  </si>
  <si>
    <t xml:space="preserve">                  1131. Egyes szociális és gyermekjóléti feladatok támogatása</t>
  </si>
  <si>
    <t xml:space="preserve">                  1132. Egyes szoc.szakosított ell, gyermekek átm.gond.kapcs.fea.</t>
  </si>
  <si>
    <t xml:space="preserve">                  1133. Gyermekétkeztetés támogatása és szünidei étk. tám.</t>
  </si>
  <si>
    <t xml:space="preserve">                  1134. Szociális ágazati összevont pótlék</t>
  </si>
  <si>
    <t xml:space="preserve">          211. Közművelődési érdekeltségnövelő támogatás</t>
  </si>
  <si>
    <t>Közfoglalkoztatás és a nyári diákmunkához kapcsolódó kiadások</t>
  </si>
  <si>
    <t>Kiskunfélegyházi Polgárőr Egyesület</t>
  </si>
  <si>
    <t>közösségi tér, zenei klub</t>
  </si>
  <si>
    <t>TOP-5.1.216-BKI-2017-00007 azonosítószámú, Kiskunfélegyházi és Kiskunmajsai járási Foglalkoztatási Paktum pályázat - 2021. 02.28-ig</t>
  </si>
  <si>
    <t xml:space="preserve">TOP-5.1.216-BKI-2017-00007 - Kiskunfélegyházi és Kiskunmajsai járási Foglalkoztatási Paktum pályázat </t>
  </si>
  <si>
    <t xml:space="preserve">                  1135. Egészségügyi kiegészítő pótlék</t>
  </si>
  <si>
    <t xml:space="preserve">            4042. Osztalék bevétel</t>
  </si>
  <si>
    <t>Köztemetés - költségtérítés önkormányzatok felé</t>
  </si>
  <si>
    <t>Érdekeltségnövelő pályázat önerő (Móra Ferenc Művelődési Központ)</t>
  </si>
  <si>
    <r>
      <t xml:space="preserve">    </t>
    </r>
    <r>
      <rPr>
        <b/>
        <u/>
        <sz val="14"/>
        <rFont val="Times New Roman"/>
        <family val="1"/>
        <charset val="238"/>
      </rPr>
      <t>513 Tartalékok (céltartalék)</t>
    </r>
  </si>
  <si>
    <t xml:space="preserve">    5131. Általános tartalék  </t>
  </si>
  <si>
    <t xml:space="preserve">    5132. Céltartalék</t>
  </si>
  <si>
    <t>Települési Arculati Kézikönyv és földhivatali adat, térkép éves használati díja, 1956-as 50 db könyv</t>
  </si>
  <si>
    <t xml:space="preserve">                 1162. Előző évi állami támogatás elszámolás miatt</t>
  </si>
  <si>
    <t xml:space="preserve">EFOP-1.8.19-17-2017-00006. számú, EFI iroda létrehozása 2023. augusztus 31-ig. </t>
  </si>
  <si>
    <t xml:space="preserve">EFOP-1.8.19-17-2017-00006  "EFI iroda létrehozása a Kiskunfélegyházi járásban" pályázat </t>
  </si>
  <si>
    <t xml:space="preserve">                  1136. Óvodai és iskolai szociális segítő tevékenység tám.</t>
  </si>
  <si>
    <t>Kiskunfélegyháza, 5406. hrszú 2246 m2 alapterületű ingatlan megvásárlása a berendezéseivel és tartozékaival - 169/2018. (VI.28.) önk.hat.</t>
  </si>
  <si>
    <t xml:space="preserve">                  1137. Bölcsődei kiegészítő támogatás</t>
  </si>
  <si>
    <t xml:space="preserve">                 1152. Jó adatszolg.önk. támogatása</t>
  </si>
  <si>
    <t xml:space="preserve">   84. Egyéb felhalmozási célú támogatások áht-n belülre</t>
  </si>
  <si>
    <t>TOP-3.2.1-16-BK1-2017-00069 Kiskunfélegyháza oktatási intézményeinek energetikai korszerűsítése megújuló energia hasznosításával</t>
  </si>
  <si>
    <t>TOP-3.2.1-16-BK1-2017-00070 Kiskunfélegyháza óvodáinak és bölcsődéinek energetikai korszerűsítése megújuló energia hasznosításával</t>
  </si>
  <si>
    <t>TOP-3.2.1-16-BK1-2017-00073 Kiskunfélegyháza közintézményeinek energetikai korszerűsítése megújuló energia hasznosításával</t>
  </si>
  <si>
    <t>2019. ÉVI KÖLTSÉGVETÉSI MÉRLEG</t>
  </si>
  <si>
    <t>mód.ei.</t>
  </si>
  <si>
    <t>Darvas tér 1.</t>
  </si>
  <si>
    <t>hentes üzlet</t>
  </si>
  <si>
    <t>Gyógyszer támogatás</t>
  </si>
  <si>
    <t>Nagyszőlő úti Gazdakör Leader pályázat előkészítési ktg. tám. - 265/2017. (XII.14.) öh.  és 24/2018. öh.</t>
  </si>
  <si>
    <t>TOP 1.1.1-16-BK1-2017-00003. Ipari Park fejlesztése</t>
  </si>
  <si>
    <t>** Szociális jellegű</t>
  </si>
  <si>
    <t>90-100%</t>
  </si>
  <si>
    <t>** Helyi sajátosságok</t>
  </si>
  <si>
    <t>Pénzügyi műveletek kiadásai (bankszámlavezetés, posta)</t>
  </si>
  <si>
    <t>Csillag Szolg.pont (Komplex telep prg) üzemeltetése - 280/2018. önk.hat.</t>
  </si>
  <si>
    <t>Dr. Földeáki és társa Kft - gyermekfogászati szakellátás</t>
  </si>
  <si>
    <t xml:space="preserve">Közbeszerzési kiadások, egyéb felh.kiad.összefüggő dologi kiadások </t>
  </si>
  <si>
    <t xml:space="preserve">TOP-4.3.1-15-BK1-2016-00001. - Leromlott Városi területek rehabilitációja </t>
  </si>
  <si>
    <t>2019. eredeti ei.</t>
  </si>
  <si>
    <t>Beruházás</t>
  </si>
  <si>
    <t>Felújítás</t>
  </si>
  <si>
    <t>Kisértékű tárgyi eszközök beszerzése</t>
  </si>
  <si>
    <t>IPA pályázat - malom felújítás</t>
  </si>
  <si>
    <t>Mindösszesen</t>
  </si>
  <si>
    <t xml:space="preserve">                 1153. Téli rezsicsökkentés</t>
  </si>
  <si>
    <t>Részösszesen</t>
  </si>
  <si>
    <t>Félegyházi Térségi Sportiskola Nonprofit Kft -labdarúgó szakosztály műk-hez TAO önrész</t>
  </si>
  <si>
    <t xml:space="preserve">                   3551. Idegenforgalmi adó tartózkodás után</t>
  </si>
  <si>
    <t xml:space="preserve">           4021. Jelzőrendsz.házi s.ny. , üdülő bérbeadása</t>
  </si>
  <si>
    <t>Kisértékű eszközbeszerzés</t>
  </si>
  <si>
    <t>KEF feladataira</t>
  </si>
  <si>
    <t xml:space="preserve"> saját bevétel, kincstárjegy b.</t>
  </si>
  <si>
    <t>MEP</t>
  </si>
  <si>
    <t>KEF pályázat,  rendezvények</t>
  </si>
  <si>
    <t>Európai Uniós támogatással megvalósítani kívánt és  megvalósított projektek*</t>
  </si>
  <si>
    <t>Támogatásban részesülő, megvalósítás alatt lévő projektek</t>
  </si>
  <si>
    <t>"Kiskunfélegyházi Ipari Park II. ütem fejlesztése" - TOP-1.1.1-16-BK1-2017-00003</t>
  </si>
  <si>
    <t>"Leromlott városi területek rehabilitációja" - Kiskunfélegyháza- Bankfalu újjászületik - TOP-4.3.1-15-BK1-2016-00001</t>
  </si>
  <si>
    <t>"Kiskunfélegyházi és Kiskunmajsai járási Foglalkoztatási Paktum" - TOP-5.1.2-16-BK1-2017-00007</t>
  </si>
  <si>
    <t xml:space="preserve">*részletező táblázat az aláírt támogatási szerződéssel rendelkező  projektekhez készült </t>
  </si>
  <si>
    <t>Kedvezményezett: Kiskunfélegyháza Város Önkormányzata</t>
  </si>
  <si>
    <t>Projekt megvalósítás helyszíne: 6100 Kiskunfélegyháza, Móra Ferenc utca 2/a, hrsz: 2084</t>
  </si>
  <si>
    <t>Támogatói okirat dátuma: 2017. június 14.</t>
  </si>
  <si>
    <t>"A foglalkoztatás és az életminőség javítása családbarát, munkába állást segítő intézmények, közszolgáltatások fejlesztésével. - Kiskunfélegyházi Napköziotthonos Óvoda fejlesztése" - TOP-1.4.1-15-BK1-2016-00010</t>
  </si>
  <si>
    <t>Tervezett bevételek</t>
  </si>
  <si>
    <t xml:space="preserve"> saját erő</t>
  </si>
  <si>
    <t>ebből: önkormányzati saját erő</t>
  </si>
  <si>
    <t>BKM.-i Területfejlesztési Nonprofit Kft.</t>
  </si>
  <si>
    <t>Projekt összköltsége:</t>
  </si>
  <si>
    <t>Projekt megvalósítás főhelyszíne: 6100 Kiskunfélegyháza, Béke tér  Hrsz: 3152/6</t>
  </si>
  <si>
    <t>Projekt fizikai megvalósítás kezdési és befejezési időpontja: 2017.08.01-2020.05.31</t>
  </si>
  <si>
    <t>Támogatói okirat dátuma: 2017. július 13.</t>
  </si>
  <si>
    <t>Zöld város kialakítása - "Félegyháza Újjáépül" - TOP-2.1.2-15-BK1-2016-00004</t>
  </si>
  <si>
    <t>Projekt megvalósítás főhelyszíne: 6100 Kiskunfélegyháza, Délibáb utca - Alpári út - Tanyasori út - Liget utca által határolt terület</t>
  </si>
  <si>
    <t>Projekt fizikai megvalósítás kezdési és befejezési időpontja: 2017.08.01-2020.07.31</t>
  </si>
  <si>
    <t>Támogatói okirat dátuma: 2017. július 04.</t>
  </si>
  <si>
    <t>Támogatás intenzitása: 100%</t>
  </si>
  <si>
    <t>"Új csillag születik" - Komplex környezet- és egészségfejlesztési program Kiskunfélegyházán - TOP-5.2.1-15-BK1-2016-00002</t>
  </si>
  <si>
    <t>Kiskunfélegyháza Város Roma Nemzetiségi Önkormányzata</t>
  </si>
  <si>
    <t>Projekt megvalósítás főhelyszíne: 6100 Kiskunfélegyháza, Kossuth L.u.1. (hrsz:3)</t>
  </si>
  <si>
    <t>Projekt fizikai megvalósítás kezdési és befejezési időpontja: 2018.03.01 - 2021.02.28.</t>
  </si>
  <si>
    <t>Támogatási szerződés dátuma: 2018.03.01</t>
  </si>
  <si>
    <t>BKM.-i Kormányhivatal</t>
  </si>
  <si>
    <t>Kiskunmajsai Többcélú Kistérségi Társulás</t>
  </si>
  <si>
    <t>Magyar Máltai Szeretet Szolgálat</t>
  </si>
  <si>
    <t>Projekt főhelyszíne: 6100 Kiskunfélegyháza, Batthyány Lajos utca 12-18., hrsz: 4932</t>
  </si>
  <si>
    <t>Támogatási szerződés dátuma: 2018. július 26.</t>
  </si>
  <si>
    <t>Támogatási szerződés I.számú módosítása: 2018.08.15.</t>
  </si>
  <si>
    <t>Támogatási szerződés szerinti összegek eFt-ban</t>
  </si>
  <si>
    <t>"Kiskunfélegyháza oktatási intézményeinek energetikai korszerűsítése megújuló energia hasznosításával - TOP-3.2.1-16-BK1-2017-00069</t>
  </si>
  <si>
    <t>Projekt főhelyszíne: 6100 Kiskunfélegyháza, Bercsényi u. 5., hrsz: 4571</t>
  </si>
  <si>
    <t>"Kiskunfélegyháza óvodáinak és bölcsödéinek energetikai korszerűsítése megújuló energia hasznosításával - TOP-3.2.1-16-BK1-2017-00070</t>
  </si>
  <si>
    <t>Projekt főhelyszíne: 6100 Kiskunfélegyháza, Hunyadi u. 6., hrsz: 333</t>
  </si>
  <si>
    <t>"Kiskunfélegyháza közintézményeinek energetikai korszerűsítése megújuló energia hasznosításával - TOP-3.2.1-16-BK1-2017-00073</t>
  </si>
  <si>
    <r>
      <t xml:space="preserve">Kedvezményezett: </t>
    </r>
    <r>
      <rPr>
        <b/>
        <sz val="12"/>
        <rFont val="Times New Roman"/>
        <family val="1"/>
        <charset val="238"/>
      </rPr>
      <t>Kiskunfélegyháza Város Önkormányzata</t>
    </r>
  </si>
  <si>
    <t>Projekt megvalósítás helyszíne: 6100 Kiskunfélegyháza, 0461/92 hrsz.</t>
  </si>
  <si>
    <t>Projekt fizikai megvalósítás kezdési és befejezési időpontja: 2018.08.01-2020.07.31</t>
  </si>
  <si>
    <t>Támogatási szerződés dátuma: 2018.08.15</t>
  </si>
  <si>
    <t>Összes bevétel</t>
  </si>
  <si>
    <t>Projekt megvalósítás helyszíne: 6100 Kiskunfélegyháza, Kossuth L. u. 1.</t>
  </si>
  <si>
    <t>Projekt fizikai megvalósítás kezdési és befejezési időpontja: 2018.09.01 - 2020.08.31</t>
  </si>
  <si>
    <t>Támogatási szerződés dátuma: 2018.09.13</t>
  </si>
  <si>
    <t>"EFI iroda létrehozása a Kiskunfélegyházi járásban" - EFOP-1.8.19-17-2017-00006</t>
  </si>
  <si>
    <r>
      <t xml:space="preserve">Vezető kedvezményezett: </t>
    </r>
    <r>
      <rPr>
        <b/>
        <sz val="12"/>
        <rFont val="Times New Roman"/>
        <family val="1"/>
        <charset val="238"/>
      </rPr>
      <t>Kiskunfélegyháza Város Önkormányzat Kiskun Múzeuma</t>
    </r>
  </si>
  <si>
    <t>Projekt megvalósítás helyszíne: 6100 Kiskunfélegyháza, Dr. Holló Lajos u. 9.</t>
  </si>
  <si>
    <t>"Magyarország - Szerbia határon átnyúló tematikus út a malmok, szélmalmok jegyében" - HUSRB/1602/31/0252</t>
  </si>
  <si>
    <t>Projekt teljes költségvetése</t>
  </si>
  <si>
    <t>Megoszlás</t>
  </si>
  <si>
    <t>Összeg (Euro)</t>
  </si>
  <si>
    <t>IPA támogatás</t>
  </si>
  <si>
    <t>Hazai társfinanszírozás (csak Magyar partnereknek)</t>
  </si>
  <si>
    <t>Önerő (Magyarországi partnereknek 5%)</t>
  </si>
  <si>
    <t>Összesen:</t>
  </si>
  <si>
    <t>(Euro)</t>
  </si>
  <si>
    <t>Partnerek közötti megoszlás</t>
  </si>
  <si>
    <t xml:space="preserve">Összes költség </t>
  </si>
  <si>
    <t>Hazai forrás</t>
  </si>
  <si>
    <t>Saját erő</t>
  </si>
  <si>
    <t>ÓNTE Ópusztaszeri Nemzeti Történelmi Emlékpark Közhasznú Nonprofit Kft.</t>
  </si>
  <si>
    <t>Kikinda Múzeum (Szerbia)</t>
  </si>
  <si>
    <t>Orom Község (Szerbia)</t>
  </si>
  <si>
    <t>Hódmezővásárhely Város Önkormányzata</t>
  </si>
  <si>
    <t>Összes kiadás (Euro)</t>
  </si>
  <si>
    <t>Személyi juttatások és járulékai</t>
  </si>
  <si>
    <t>Konzorciumi tag: Kiskunfélegyházi Petőfi Sándor Városi Könyvtár</t>
  </si>
  <si>
    <t>Kedvezményezett (Konzorcium vezető): Bács-Kiskun Megyei Katona József Könyvtár</t>
  </si>
  <si>
    <t>Projekt megvalósítás helyszíne: 6100 Kiskunfélegyháza,Szent János tér 9.</t>
  </si>
  <si>
    <t>Projekt fizikai megvalósítás kezdési és befejezési időpontja: 2018.01.01-2020.12.31</t>
  </si>
  <si>
    <t>Támogatási szerződés dátuma: 2017.december 19.</t>
  </si>
  <si>
    <t>"A könyvtár Tudás-Esély Minden-Kor! - EFOP-3.7.3-16-2017-00300</t>
  </si>
  <si>
    <t>Petőfi Sándor Városi Könyvtár összesen:</t>
  </si>
  <si>
    <t>BKM.-i Katona József Könyvtár</t>
  </si>
  <si>
    <t>Félegyházi Városfenntartó Nonprofit Kft fejlesztési támogatása</t>
  </si>
  <si>
    <t>Félegyházi Városfenntartó Nonprofit Kft  működési célú támogatása</t>
  </si>
  <si>
    <r>
      <t xml:space="preserve">              16106. </t>
    </r>
    <r>
      <rPr>
        <sz val="10"/>
        <rFont val="Times New Roman"/>
        <family val="1"/>
        <charset val="238"/>
      </rPr>
      <t xml:space="preserve">EFOP-1.8.19-17-2017-00006 azonosítószámú, "EFI iroda létrehozása a Kiskunfélegyházi járásban" pályázat </t>
    </r>
  </si>
  <si>
    <t xml:space="preserve">               2512. NFM - Asztalitenisz terem felújítása</t>
  </si>
  <si>
    <t xml:space="preserve">               2513. NFA közfoglalkoztatás felhalmozási célú tám. </t>
  </si>
  <si>
    <t xml:space="preserve">               2514. Ipari Park fejlesztése TOP-1.1.1-16-BK1-2017-00003 pály.</t>
  </si>
  <si>
    <t xml:space="preserve">        914. Áht-n belüli megelőlegezések visszafizetése</t>
  </si>
  <si>
    <t xml:space="preserve">        915. Központi irányító szervi támogatás folyósítása</t>
  </si>
  <si>
    <t>Válto-</t>
  </si>
  <si>
    <t>Módos.</t>
  </si>
  <si>
    <t>Vált.</t>
  </si>
  <si>
    <t>Mód.ei.</t>
  </si>
  <si>
    <t>508. Működési célú visszatérítendő támogatások, kölcsönök nyújtása államháztartáson kívülre</t>
  </si>
  <si>
    <t xml:space="preserve">   508. Működési célú visszatérítendő támogatások, kölcsönök nyújtása államháztartáson kívülre</t>
  </si>
  <si>
    <t xml:space="preserve">    64. Működési célú visszatérítendő támogatások, kölcsönök visszatérülése államháztartáson kívülről</t>
  </si>
  <si>
    <t xml:space="preserve">                 1161. MÁK ellenőrzés - támogatások elszámolása</t>
  </si>
  <si>
    <t>Kiskunfélegyházi Polgármesteri Hivatal 87 fő köztisztviselő, 18,5 fő közalkalmazott, 42 fő MT-s dolgozó</t>
  </si>
  <si>
    <t xml:space="preserve">          651. Egyéb vállalkozásoktól - rendezvényekre</t>
  </si>
  <si>
    <t xml:space="preserve">          3512. Ideiglenes jelleggel végzett iparűzési tevékenység után fizetett adó</t>
  </si>
  <si>
    <t xml:space="preserve">   89. Egyéb felhalmozási célú támogatások áht-n kívülre</t>
  </si>
  <si>
    <t xml:space="preserve">          164. Tám. ért. mc. bev. önkormányzaton belül (intézményektől)</t>
  </si>
  <si>
    <t>Informatikai eszközök</t>
  </si>
  <si>
    <t xml:space="preserve">EFOP pályázat </t>
  </si>
  <si>
    <t>Félegyházi Szabadidő és Sport Nonprofit Kft  működési célú támogatása</t>
  </si>
  <si>
    <t>Ö s s z e s e n</t>
  </si>
  <si>
    <t xml:space="preserve">          653. Egyéb szervezetektől, külföldiektől</t>
  </si>
  <si>
    <t xml:space="preserve">          654. Félegyházi Városfenntartó Nonprofit Kft 2018. évi túlkompenzáció visszafizetése</t>
  </si>
  <si>
    <t xml:space="preserve">          656. Félegyházi Fejlesztési Nonprofit Kft. portaszolg. visszafiz.</t>
  </si>
  <si>
    <t xml:space="preserve">          745. Félegyházi Fejl.Nonprofi Kft. szennyvízátemelő tám.vfiz.</t>
  </si>
  <si>
    <t xml:space="preserve">             16107. VP6-19.2.1-50-4-17. - Települési rend. (Aratófesztivál)</t>
  </si>
  <si>
    <t xml:space="preserve">VP6-19.2.1.-50-4-17 - 2019. évi Aratófesztivál </t>
  </si>
  <si>
    <t xml:space="preserve"> </t>
  </si>
  <si>
    <t xml:space="preserve">                 1152. 1294/2019.korm.hat - Falu és tanyagondn.szolg.tám.</t>
  </si>
  <si>
    <t xml:space="preserve">                 1153. 1346/2019.korm.hat-hajléktalan ellátással összefüggő fea.</t>
  </si>
  <si>
    <t xml:space="preserve">                 1154. 1354/2019.korm.hat. - minimálbér és bérmin.emelésre</t>
  </si>
  <si>
    <t xml:space="preserve">             16108. TOP-7.1.1-16-H-ESZA-2019-00207 „Élményekkel teli Félegyháza” pályázat </t>
  </si>
  <si>
    <t>TOP-7.1.1-16-H-ESZA-2019-00207 „Élményekkel teli Félegyháza” pályázat</t>
  </si>
  <si>
    <t xml:space="preserve">              2516. TOP-7.1.1-16-H-ERFA-2019-00157 „Városrészek megújulnak” pályázat</t>
  </si>
  <si>
    <t xml:space="preserve">             2517. TP-1-2018. pályázat - Nagyszőlő Úti Gazdakör tanyasi közösségi terének kialakítása </t>
  </si>
  <si>
    <t xml:space="preserve">             2518. 20/2017. FM. Rend. Tanyafejl.prg. Tanyás térség megőrzése</t>
  </si>
  <si>
    <t xml:space="preserve">          657. A zene szárnyán szabadon rendezvényre - Közép- és Kelet-európai Történelem és Társadalom Kutatásáért Közalapítvány </t>
  </si>
  <si>
    <t>Kedvezményezett : Kiskunfélegyháza Város Önkormányzata</t>
  </si>
  <si>
    <t>Projekt megvalósítás helyszíne: 6100 Kiskunfélegyháza,Kossuth L. u. 1.</t>
  </si>
  <si>
    <t>Projekt fizikai megvalósítás kezdési és befejezési időpontja: 2018.12.01. - 2020.01.31.</t>
  </si>
  <si>
    <t>Támogatási szerződés dátuma: 2019.02.01</t>
  </si>
  <si>
    <t>Támogatási szerződés I. módosítása: 2019.07.15.</t>
  </si>
  <si>
    <t>"Kiskunfélegyháza - Bankfalu újjászületik" - TOP-4.3.1-15-BK1-2016-00001</t>
  </si>
  <si>
    <t>Projekt fizikai megvalósítás kezdési és befejezési időpontja: 2019.05.01 - 2020.01.31</t>
  </si>
  <si>
    <t>Támogatási szerződés dátuma: 2019.06.19.</t>
  </si>
  <si>
    <t>"Élményekkel teli Félegyháza" - TOP-7.1.1-16-H-ESZA-2019-00207</t>
  </si>
  <si>
    <t>Kedvezményezett : Móra Ferenc Művelődési Központ</t>
  </si>
  <si>
    <t>Projekt megvalósítás helyszíne: 6100 Kiskunfélegyháza, Petőfi tér 1.</t>
  </si>
  <si>
    <t>Projekt megvalósítás helyszíne: 6100 Kiskunfélegyháza, Petőfi Lakótelep, Kaffka Margit u.-i játszóterek</t>
  </si>
  <si>
    <t>Támogatási szerződés dátuma: 2019.06.20.</t>
  </si>
  <si>
    <t>"Városrészek megújulnak" TOP-7.1.1-16-H-ERFA-2019-00157</t>
  </si>
  <si>
    <t>"Félegyháza felpezsdül" - TOP-7.1.1-16-H-ESZA-2019-00199</t>
  </si>
  <si>
    <t>7. melléklet</t>
  </si>
  <si>
    <t xml:space="preserve">ei. </t>
  </si>
  <si>
    <t xml:space="preserve">Rezidensek támogatása 260/2018. öh. </t>
  </si>
  <si>
    <t>11-20297-1-001-00-03 kódszámú Kiskunfélegyháza közműves ivóvízellátás víziközmű rendszer 239/2019. (IX.26.) öh. - gördülő fejl.terv</t>
  </si>
  <si>
    <t>21-20297-1-001-00-01 kódszámú Kiskunfélegyháza közműves szennyvízelvezetés és – tisztítás víziközmű rendszer -239/2019. (IX.26.) öh. - gördülő fejl.terv</t>
  </si>
  <si>
    <t>2021-2024</t>
  </si>
  <si>
    <t>6. számú házi gyermekorvosi kőrzet - 2019. november 1-től 6 hónap határozott időre</t>
  </si>
  <si>
    <t>6. számú házi gyermekorvosi körzet feladatellátása</t>
  </si>
  <si>
    <t>2. számú fogorvosi körzet feladatellátása</t>
  </si>
  <si>
    <t xml:space="preserve">          165. NEAK-tól átvett pe.:  gyermek- iskola- és fogorvosi feladatokra</t>
  </si>
  <si>
    <t>2. számú fogorvosi kőrzet -2019. november 1-től 2020. április 30-ig</t>
  </si>
  <si>
    <t>Nappali tagozaton tanulmányokat folytató orvostanhallgatók részére ösztöndíj pályázat (225/2018. öh. 2021-ben 2.400 e/Ft és ezt követően 3 millió Ft/év)</t>
  </si>
  <si>
    <t xml:space="preserve">          212. Járásszékhely múzeumok szakmai támogatása</t>
  </si>
  <si>
    <t>15. melléklet</t>
  </si>
  <si>
    <t>"Egészségfejlesztési iroda (EFI) létrehozása a Kiskunfélegyházi járásban." - EFOP-1.8.19-17-2017-00006</t>
  </si>
  <si>
    <t>"Kiskunfélegyháza oktatási intézményeinek energetikai korszerűsítése megújuló energia hasznosításával" - TOP-3.2.1-16-BK1-2017-00069</t>
  </si>
  <si>
    <t>"Kiskunfélegyháza óvodáinak és bölcsődéinek energetikai korszerűsítése megújuló energia hasznosításával" - TOP-3.2.1-16-BK1-2017-00070</t>
  </si>
  <si>
    <t>"Kiskunfélegyháza közintézményeinek energetikai korszerűsítése megújuló energia hasznosításával" - TOP-3.2.1-16-BK1-2017-00073</t>
  </si>
  <si>
    <t>"Félegyháza újjáépül" - Zöldváros kialakítása - TOP-2.1.2-15-BK1-2016-00004</t>
  </si>
  <si>
    <t>"A foglalkoztatás és az életminőség javítása családbarát, munkába állást segítő intézmények, közszolgáltatások fejlesztésével" - Kiskunfélegyházi Napköziotthonos Óvoda fejlesztése - TOP-1.4.1-15-BK1-2016-00010</t>
  </si>
  <si>
    <t>"A társadalmi együttműködés erősítését szolgáló helyi szintű komplex programok" - Új csillag születik - Komplex környezet- és egészségfejlesztési program Kiskunfélegyházán. - TOP-5.2.1-15-BK1-2016-00002</t>
  </si>
  <si>
    <t>Befejezett, fenntartási időszak alatt álló projektek</t>
  </si>
  <si>
    <r>
      <rPr>
        <b/>
        <sz val="11"/>
        <rFont val="Times New Roman"/>
        <family val="1"/>
        <charset val="238"/>
      </rPr>
      <t>Petőfi S. Városi Könyvtár -</t>
    </r>
    <r>
      <rPr>
        <sz val="11"/>
        <rFont val="Times New Roman"/>
        <family val="1"/>
        <charset val="238"/>
      </rPr>
      <t xml:space="preserve"> Félegyházi Hangya- 2010 Termelőiskola - a Vidék Iskolája" - TÁMOP-1.4.3-12/1-2012-0121</t>
    </r>
    <r>
      <rPr>
        <b/>
        <sz val="11"/>
        <rFont val="Times New Roman"/>
        <family val="1"/>
        <charset val="238"/>
      </rPr>
      <t xml:space="preserve"> - </t>
    </r>
    <r>
      <rPr>
        <sz val="11"/>
        <rFont val="Times New Roman"/>
        <family val="1"/>
        <charset val="238"/>
      </rPr>
      <t>záró elszámolási csomag elfogadása: 2016.07.11</t>
    </r>
  </si>
  <si>
    <r>
      <rPr>
        <b/>
        <sz val="11"/>
        <rFont val="Times New Roman"/>
        <family val="1"/>
        <charset val="238"/>
      </rPr>
      <t xml:space="preserve">Kiskunfélegyháza Város Önkormányzata </t>
    </r>
    <r>
      <rPr>
        <sz val="11"/>
        <rFont val="Times New Roman"/>
        <family val="1"/>
        <charset val="238"/>
      </rPr>
      <t xml:space="preserve"> - "Komplex -telep program Kiskunfélegyháza város Alpári út 1. - Délibáb utca szegregátumában." - TÁMOP-5.3.6-11/1-2012-0076 - Záró elszámolási csomag elfogadása: 2016.07.11</t>
    </r>
  </si>
  <si>
    <r>
      <rPr>
        <b/>
        <sz val="11"/>
        <rFont val="Times New Roman"/>
        <family val="1"/>
        <charset val="238"/>
      </rPr>
      <t xml:space="preserve">Kiskunfélegyháza Város Önkormányzata </t>
    </r>
    <r>
      <rPr>
        <sz val="11"/>
        <rFont val="Times New Roman"/>
        <family val="1"/>
        <charset val="238"/>
      </rPr>
      <t>- "A roma emberek képzésbe ágyazott foglalkoztatása a Kapocs Szociális és Gyermekvédelmi Intézményben, amely a családok átmeneti otthonában elhelyezettek ellátásában, Kiskunfélegyházán valósul meg." - TÁMOP-5.3.1.B-2-12/2-2014-0058 - Záró elszámolási csomag elfogadása: 2016.08.26</t>
    </r>
  </si>
  <si>
    <r>
      <rPr>
        <b/>
        <sz val="11"/>
        <rFont val="Times New Roman"/>
        <family val="1"/>
        <charset val="238"/>
      </rPr>
      <t xml:space="preserve">Kiskunfélegyháza Város Önkormányzata </t>
    </r>
    <r>
      <rPr>
        <sz val="11"/>
        <rFont val="Times New Roman"/>
        <family val="1"/>
        <charset val="238"/>
      </rPr>
      <t>- "A roma emberek képzésbe ágyazott foglalkoztatása a Kapocs Szociális és Gyermekvédelmi Intézményben, amely a hajléktalanok ellátásában valósul meg, átmeneti szállásán és éjjeli menedékhelyen Kiskunfélegyházán." - TÁMOP-5.3.1.B-2-12/2-2014-0060 - Záró elszámolási csomag elfogadása: 2016.08.26.</t>
    </r>
  </si>
  <si>
    <r>
      <rPr>
        <b/>
        <sz val="11"/>
        <rFont val="Times New Roman"/>
        <family val="1"/>
        <charset val="238"/>
      </rPr>
      <t xml:space="preserve">Kiskunfélegyháza Város Önkormányzata </t>
    </r>
    <r>
      <rPr>
        <sz val="11"/>
        <rFont val="Times New Roman"/>
        <family val="1"/>
        <charset val="238"/>
      </rPr>
      <t xml:space="preserve"> - "Kiskunfélegyháza város közvilágításának energiatakarékos korszerűsítése" - KEOP-5.5.0/K/14-2014-0040 - Záró elszámolási csomag elfogadása: 2016.03.24</t>
    </r>
  </si>
  <si>
    <r>
      <rPr>
        <b/>
        <sz val="11"/>
        <rFont val="Times New Roman"/>
        <family val="1"/>
        <charset val="238"/>
      </rPr>
      <t>Kiskunfélegyháza Város Önkormányzata</t>
    </r>
    <r>
      <rPr>
        <sz val="11"/>
        <rFont val="Times New Roman"/>
        <family val="1"/>
        <charset val="238"/>
      </rPr>
      <t xml:space="preserve">  - "Kiskunfélegyháza, 5-ös számú főúton történő biztonságos kerékpározás megteremtése" - KÖZOP-3.5.0-09-11-2015-0003 - Záró elszámolási csomag elfogadása: 2016.</t>
    </r>
  </si>
  <si>
    <r>
      <rPr>
        <b/>
        <sz val="11"/>
        <rFont val="Times New Roman"/>
        <family val="1"/>
        <charset val="238"/>
      </rPr>
      <t>Kiskunfélegyháza Város Önkormányzata</t>
    </r>
    <r>
      <rPr>
        <sz val="11"/>
        <rFont val="Times New Roman"/>
        <family val="1"/>
        <charset val="238"/>
      </rPr>
      <t xml:space="preserve"> - "A természettudományos oktatás módszertanának és eszközrendszerének megújítása a Móra Ferenc Gimnáziumban Kiskunfélegyházán" - TÁMOP-3.1.3-11/2-2012-0018 </t>
    </r>
  </si>
  <si>
    <r>
      <rPr>
        <b/>
        <sz val="11"/>
        <rFont val="Times New Roman"/>
        <family val="1"/>
        <charset val="238"/>
      </rPr>
      <t>Kiskunfélegyháza Város Önkormányzata</t>
    </r>
    <r>
      <rPr>
        <sz val="11"/>
        <rFont val="Times New Roman"/>
        <family val="1"/>
        <charset val="238"/>
      </rPr>
      <t xml:space="preserve">  - "Kiskunfélegyháza Város Önkormányzatának szervezetfejlesztése" - ÁROP-1.A.5-2013-2013-0013 -záró elszámolási csomag elfogadása: 2015.12.02</t>
    </r>
  </si>
  <si>
    <r>
      <rPr>
        <b/>
        <sz val="11"/>
        <rFont val="Times New Roman"/>
        <family val="1"/>
        <charset val="238"/>
      </rPr>
      <t>Kiskunfélegyháza Város Önkormányzata -</t>
    </r>
    <r>
      <rPr>
        <sz val="11"/>
        <rFont val="Times New Roman"/>
        <family val="1"/>
        <charset val="238"/>
      </rPr>
      <t xml:space="preserve"> "Ne légy Jeti! - Fenntarthatósági rendezvénysorozat a Kiskunfélegyházi kistérségben" - KEOP-6.1.0/B/11-2011-0129 - -záró elszámolási csomag elfogadása: 2015.03.26.</t>
    </r>
  </si>
  <si>
    <r>
      <rPr>
        <b/>
        <sz val="11"/>
        <rFont val="Times New Roman"/>
        <family val="1"/>
        <charset val="238"/>
      </rPr>
      <t xml:space="preserve">Kiskunfélegyháza Város Önkormányzata  - </t>
    </r>
    <r>
      <rPr>
        <sz val="11"/>
        <rFont val="Times New Roman"/>
        <family val="1"/>
        <charset val="238"/>
      </rPr>
      <t>"Kiskunfélegyháza Város szennyvízcsatornázása befejező ütemeinek megvalósítása a NTSZMP-ról szóló hatályos 25/2002. (II.27.) Korm. rendeletben foglaltak szerint" - KEOP-1.2.0./2F/09-2010-0063 -záró elszámolási csomag elfogadása: 2015.10.17</t>
    </r>
  </si>
  <si>
    <r>
      <rPr>
        <b/>
        <sz val="11"/>
        <rFont val="Times New Roman"/>
        <family val="1"/>
        <charset val="238"/>
      </rPr>
      <t xml:space="preserve">Városfenntartó és Szolgáltató Költségvetési Szervezet </t>
    </r>
    <r>
      <rPr>
        <sz val="11"/>
        <rFont val="Times New Roman"/>
        <family val="1"/>
        <charset val="238"/>
      </rPr>
      <t>- "Háztartási méretű napelemes kiserőmű létesítése a Kiskunfélegyházi Városi Strand és Uszoda épületén" - KEOP-4.10.0/N/14-2014-0250 - záró elszámolási csomag elfogadása: 2016.01.13</t>
    </r>
  </si>
  <si>
    <r>
      <rPr>
        <b/>
        <sz val="11"/>
        <rFont val="Times New Roman"/>
        <family val="1"/>
        <charset val="238"/>
      </rPr>
      <t xml:space="preserve">Petőfi S. Városi Könyvtár és Művelődési Kp. </t>
    </r>
    <r>
      <rPr>
        <sz val="11"/>
        <rFont val="Times New Roman"/>
        <family val="1"/>
        <charset val="238"/>
      </rPr>
      <t>- Élményközpontú Móra és Petőfi tanítás Kiskunfélegyházán - TÁMOP-3.2.13-12/1-2012-0131 - záró beszámoló elfogadása: 2014.02.24</t>
    </r>
  </si>
  <si>
    <r>
      <t xml:space="preserve">Petőfi S. Városi Könyvtár és Művelődési Kp. - </t>
    </r>
    <r>
      <rPr>
        <sz val="11"/>
        <rFont val="Times New Roman"/>
        <family val="1"/>
        <charset val="238"/>
      </rPr>
      <t>"Tudástár-építés Kiskunfélegyházán A könyv-társ, avagy aki olvas, soha nincs egyedül" - TÁMOP-3.2.4/A-11/1-2012-0061- záró beszámoló elfogadása: 2014.10.17.</t>
    </r>
  </si>
  <si>
    <r>
      <rPr>
        <b/>
        <sz val="11"/>
        <rFont val="Times New Roman"/>
        <family val="1"/>
        <charset val="238"/>
      </rPr>
      <t>Kiskunfélegyháza Város Önkormányzata - "</t>
    </r>
    <r>
      <rPr>
        <sz val="11"/>
        <rFont val="Times New Roman"/>
        <family val="1"/>
        <charset val="238"/>
      </rPr>
      <t>Kapocs Szociális, Gyermekvédelmi és Egészségügyi Intézmény bölcsödéjének infrastrukturális fejlesztése" - DAOP-4.1.3/B-11-2012-0005-záró beszámoló elfogadása: 2014.12.10.</t>
    </r>
  </si>
  <si>
    <r>
      <rPr>
        <b/>
        <sz val="11"/>
        <rFont val="Times New Roman"/>
        <family val="1"/>
        <charset val="238"/>
      </rPr>
      <t xml:space="preserve">Kiskunfélegyháza Város Önkormányzata </t>
    </r>
    <r>
      <rPr>
        <sz val="11"/>
        <rFont val="Times New Roman"/>
        <family val="1"/>
        <charset val="238"/>
      </rPr>
      <t>- "Szivárvány Személyes Gondoskodást Nyújtó Intézmény szociális alapszolgáltatásainak infrastrukturális fejlesztése" DAOP-4.1.3/A-11-2012-0018 - záró beszámoló elfogadása: 2014.12.10.</t>
    </r>
  </si>
  <si>
    <t>Mód.</t>
  </si>
  <si>
    <t xml:space="preserve">             362. Adópótlék, késedelmi, önellenőrzési pótlék </t>
  </si>
  <si>
    <t>10. melléklet</t>
  </si>
  <si>
    <t xml:space="preserve">2019. </t>
  </si>
  <si>
    <t>várható</t>
  </si>
  <si>
    <t>tervezet</t>
  </si>
  <si>
    <t>2020 terv</t>
  </si>
  <si>
    <t>Az önkormányzat személyi és dologi kiadásainak részletezése főbb feladatonként 2020. évben</t>
  </si>
  <si>
    <t>Intézményi felhalmozási kiadások 2020. évben</t>
  </si>
  <si>
    <t>Kisértékű tárgyi eszközök</t>
  </si>
  <si>
    <t xml:space="preserve">Kisértékű tárgyi eszközök </t>
  </si>
  <si>
    <t>Feladatellátást biztosító létszám 2020. évre</t>
  </si>
  <si>
    <t>TOP-5.1.216-BKI-2017-00007 - Kiskunfélegyházi és Kiskunmajsai járási Foglalkoztatási Paktum pályázat 2021. évi üteme</t>
  </si>
  <si>
    <t>Városháza épület felújítása</t>
  </si>
  <si>
    <t>Nappali tagozaton tanuló orvostanhallgatók és rezidensek részére ösztöndíj biztosítása (225/2018. - 400 e/Ft, és 260/2018. öh. 1266 e/Ft)</t>
  </si>
  <si>
    <t xml:space="preserve">EFOP-1.8.19-17-2017-00006. pályázat - EFI iroda fenntartása 2020 szeptember 1-től 2023. augusztus 31-ig - 188/2018. önk.hat. </t>
  </si>
  <si>
    <t>EFI Iroda működési fenntartása (IX-XII. hó) 181/2018.önk.hat. szerint</t>
  </si>
  <si>
    <t>TOP-7.1.1-16-H-ERFA-2019-00157 „Városrészek megújulnak” pályázat műszaki ellenőrzés</t>
  </si>
  <si>
    <t>4/a melléklet</t>
  </si>
  <si>
    <t>Szociális rászorultságtól függő ellátások</t>
  </si>
  <si>
    <t>Nagy értékű eszközök</t>
  </si>
  <si>
    <t>4/b melléklet</t>
  </si>
  <si>
    <t>Belvízelvezetés</t>
  </si>
  <si>
    <t>Bio- és megújuló energia felhasználása</t>
  </si>
  <si>
    <t>Mezőgazdasági földutak karbantartása</t>
  </si>
  <si>
    <t>Helyi sajátosságokra épülő közfoglalkoztatás</t>
  </si>
  <si>
    <t>Illegális hulladéklerakó helyek  felszámolása</t>
  </si>
  <si>
    <t>Belterületi közutak karbantartása</t>
  </si>
  <si>
    <t xml:space="preserve">                 1155. Jó adatszolgáltató önk.tám.</t>
  </si>
  <si>
    <t>Félegyházi Szabadidő és Sport Nonprofit Kft  fejlesztési célú támogatása</t>
  </si>
  <si>
    <t xml:space="preserve">NISZ Zrt időbélyegzés szolg. </t>
  </si>
  <si>
    <t>TOP-1.4.1-19. Bölcsődei férőhelyek kialakítása pályázat - 2021. évi üteme</t>
  </si>
  <si>
    <t xml:space="preserve">Egyéb: Tagdíjak  (Kun Összefogás Konz.31. Homokhátsági Hull. Konz. 2.499, KÖSZ: 152) </t>
  </si>
  <si>
    <t>Félegyházi Egészségügyi Nonprofit Kft működési támogatás</t>
  </si>
  <si>
    <t>VP6-7.2.1.7.4.1.2-16. - Csólyosi út fejlesztése</t>
  </si>
  <si>
    <t xml:space="preserve">          655. Félegyházi Szabadidő és Sport Nonprofit Kft 2018. évi túlkompenzácói visszafizetése</t>
  </si>
  <si>
    <t xml:space="preserve">Ipari Park </t>
  </si>
  <si>
    <t>2020. ÉVI KÖLTSÉGVETÉSI BEVÉTELEK ÉS KIADÁSOK RÉSZLETEZÉSE</t>
  </si>
  <si>
    <t>2020. ÉVI KÖLTSÉGVETÉSI MÉRLEG</t>
  </si>
  <si>
    <t xml:space="preserve">               2515. Leromlott Városi területek rehabilitációja TOP-4.3.1-15-BK1-2016-00001 </t>
  </si>
  <si>
    <t xml:space="preserve">Könyvvizsgálói megbízás </t>
  </si>
  <si>
    <t>Felhalmozási kiadások</t>
  </si>
  <si>
    <t xml:space="preserve">B e r u h á z á s o k   </t>
  </si>
  <si>
    <t>(2.sz.melléklet 6. sor részletezése)</t>
  </si>
  <si>
    <t>Ssz.</t>
  </si>
  <si>
    <t>M e g n e v e z é s</t>
  </si>
  <si>
    <t xml:space="preserve">Megjegyzés </t>
  </si>
  <si>
    <t>2020. eredeti ei.</t>
  </si>
  <si>
    <t>I. 2019-ről áthúzódó beruházások</t>
  </si>
  <si>
    <t>"Félegyháza Újjáépül" - Zöld város kialakítása projekt megvalósítása</t>
  </si>
  <si>
    <t>TOP-2.1.2-15-BK1-2016-00004, 186/2018. (VIII.30.) önk.hat.</t>
  </si>
  <si>
    <t>Pótmunka I. (Templom előtti szökőkút és Hősök parkja)</t>
  </si>
  <si>
    <t>255/2019. (X.31.) önk.hat.</t>
  </si>
  <si>
    <t>Pótmunka II.</t>
  </si>
  <si>
    <t>300/2019. (XII.17.) önk.hat.</t>
  </si>
  <si>
    <t>Egyéb projekthez kapcsolódó feladatok: Tervezői művezetés</t>
  </si>
  <si>
    <t>230/2018. (X.25.) önk.hat.</t>
  </si>
  <si>
    <t>Kiskunfélegyházi Ipari Park fejlesztése II. ütem megnevezésű projekt megvalósítása</t>
  </si>
  <si>
    <t>TOP 1.1.1-16-BK1-2017-00003</t>
  </si>
  <si>
    <t>Ipari Park II. ütem területén régészeti munkálatok</t>
  </si>
  <si>
    <t>301/2019. (XII.17.) önk.hat.</t>
  </si>
  <si>
    <t>Leromlott városi területek rehabilitációja - Kiskunfélegyháza-Bankfalu újjászületik  projekt tervezési és megvalósítási munkái</t>
  </si>
  <si>
    <t>TOP-4.3.1-15-BK1-2016-00001</t>
  </si>
  <si>
    <t>Új csillag születik - Komplex környezet- és egészségfejlesztési program Kiskunfélegyházán.</t>
  </si>
  <si>
    <t>TOP-5.2.1-15-BK1-2016-00002</t>
  </si>
  <si>
    <t>"EFI Iroda létrehozása Kiskunfélegyháza járásban" projekt eszközbeszerzése</t>
  </si>
  <si>
    <t>EFOP-1.8.19-17-2017-00006</t>
  </si>
  <si>
    <t>TOP-7.1.1-16-H-ERFA-2019-00157</t>
  </si>
  <si>
    <t>12.</t>
  </si>
  <si>
    <t>Csólyosi út útépítés és gépbeszerzés</t>
  </si>
  <si>
    <t>195/2019. (VIII.29.) önk.hat., VP6-7.2.1.7.4.1.2-16</t>
  </si>
  <si>
    <t>13.</t>
  </si>
  <si>
    <t>Kiskunfélegyházi Nagyszőlő úti Gazdakör közösségi terének kialakítása</t>
  </si>
  <si>
    <t>14.</t>
  </si>
  <si>
    <t xml:space="preserve">Közterületi feladatok tervezése </t>
  </si>
  <si>
    <t>187/2017. (IX.28.) öh.</t>
  </si>
  <si>
    <t>15.</t>
  </si>
  <si>
    <t xml:space="preserve">24/2019. (II.6.) önk.hat. </t>
  </si>
  <si>
    <t>16.</t>
  </si>
  <si>
    <t xml:space="preserve">Közvilágítás fejlesztés </t>
  </si>
  <si>
    <t>Volt SZTK épület korszerűsítése, rekonstrukciója  I. ütem pótmunkák</t>
  </si>
  <si>
    <t>138/2019. (V.30.) önk. hat.</t>
  </si>
  <si>
    <t>Kiskunfélegyháza, 5406.hrsz.-ú ingatlan megvásárlása</t>
  </si>
  <si>
    <t>169/2018. (VI.28.) önk.hat.</t>
  </si>
  <si>
    <t>Birkózó edzőterem létesítése a Honvéd Sporttelepen - tervezés</t>
  </si>
  <si>
    <t>191/2017. (IX.28.) és 266/2018. (XII.13.)</t>
  </si>
  <si>
    <t>Móravárosi kétcsoportos bölcsőde építése Kiskunfélegyházán</t>
  </si>
  <si>
    <t>139/2019.(V.30.) önk.hat.,  TOP-1.4.1-19-BK1-2019-00011</t>
  </si>
  <si>
    <t>Félegyházi Termál Parkfürdő területén hideg vizes kút fúrása</t>
  </si>
  <si>
    <t>174/2019. (VI.27.) önk.hat.</t>
  </si>
  <si>
    <t>Illésházy u. 10. ingatlan 3/8-as tulajdoni hányad megvásárlása</t>
  </si>
  <si>
    <t>Rét u. 10. szám alatti ingatlan 160/960-ad tulajdoni hányad megvásárlása</t>
  </si>
  <si>
    <t>256/2019. (X.31.) önk.hat.</t>
  </si>
  <si>
    <t>Áthúzódó összesen:</t>
  </si>
  <si>
    <t>II. Új induló beruházások</t>
  </si>
  <si>
    <t>Kisértékű eszközök beszerzése-Intézménygazdálkodás</t>
  </si>
  <si>
    <t>intézménygazd. igénye</t>
  </si>
  <si>
    <t>Kisértékű eszközök beszerzése (közfoglalkoztatáshoz)</t>
  </si>
  <si>
    <t>közfoglalkoztatás</t>
  </si>
  <si>
    <t>Csillag Szolgáltató Központ - kisértékű eszközbeszerzés</t>
  </si>
  <si>
    <t>Komplex telep program fenntartása</t>
  </si>
  <si>
    <t>Városüzemeltetés kisértékű eszközei: KRESZ táblák, közterületi padok, szemesetek pótlása, térfigyelő kamerák hálózatra csatlakozásának és méréseinek kiépítése</t>
  </si>
  <si>
    <t>Városüzemeltetés igénye</t>
  </si>
  <si>
    <t xml:space="preserve">Városüzemeltetés igénye </t>
  </si>
  <si>
    <t>Közterületi kamerák (belterület) és rendszám felismerő kamera rendszer</t>
  </si>
  <si>
    <t>Projektek előkészítéséhez és befejezéséhez saját erő</t>
  </si>
  <si>
    <t>fejlesztési csoport</t>
  </si>
  <si>
    <t>Vagyongazdálkodási osztály</t>
  </si>
  <si>
    <t>Intézmények részére vírusírtó liszensz beszerzése</t>
  </si>
  <si>
    <t>informatika</t>
  </si>
  <si>
    <t>Intézmények részére mail security liszensz beszerzése</t>
  </si>
  <si>
    <t>Veeam Backup szoftver</t>
  </si>
  <si>
    <t>Önkormányzati ingatlanok beruházásai</t>
  </si>
  <si>
    <t>Ö s s z e s e n :</t>
  </si>
  <si>
    <t>Beruházások  ÖSSZESEN</t>
  </si>
  <si>
    <t xml:space="preserve">F e l ú j í t á s o k  </t>
  </si>
  <si>
    <t>(2.sz.melléklet 7. sor részletezése)</t>
  </si>
  <si>
    <t>Megjegyzés</t>
  </si>
  <si>
    <t>I. 2019-ről áthúzódó felújítások</t>
  </si>
  <si>
    <t>Asztalitenisz terem felújítása</t>
  </si>
  <si>
    <t>118/2018. (IV.26.) önk.hat., NVM-től átvett pe.</t>
  </si>
  <si>
    <t>Önkormányzati bérlakások felújítása</t>
  </si>
  <si>
    <t>vagyongazdálkodás</t>
  </si>
  <si>
    <t>Közterületi és egyéb felújítási feladatok</t>
  </si>
  <si>
    <t>Petőfi lakótelepi parkon átmenő járda felújítása</t>
  </si>
  <si>
    <t>Áthúzódó ÖSSZESEN</t>
  </si>
  <si>
    <t>II. Új induló felújítások</t>
  </si>
  <si>
    <t xml:space="preserve">Önkormányzati bérlakások részleges felújítása (előre nem látható feladatok) </t>
  </si>
  <si>
    <t>Nem lakás célú helyiségek részleges felújítása (előre nem látható feladatok)</t>
  </si>
  <si>
    <t>2x23 db bérlakás kazáncsere I. ütem</t>
  </si>
  <si>
    <t>Kossuth u. 35. portálcsere</t>
  </si>
  <si>
    <t>Szennyvízelvezetés és tisztítás felújítási és pótlási munkák (GFT. 2020. évi feladatai)</t>
  </si>
  <si>
    <t>239/2019.(IX.26.) önk. hat.</t>
  </si>
  <si>
    <t>Ivóvízellátás felújítás és pótlási munkák (GFT. 2020. évi feladatai)</t>
  </si>
  <si>
    <t>Új induló összesen</t>
  </si>
  <si>
    <t xml:space="preserve"> Felújítások MINDÖSSZESEN</t>
  </si>
  <si>
    <t>107/2018. (IV.26.) önk.hat.</t>
  </si>
  <si>
    <t>Nem lakás célú helyiségek felújítása (Szegedi úti Óvoda tervezés)</t>
  </si>
  <si>
    <t>Berkemann Cipőgyárhoz vezető betonút felfagyott felületének vékony rétegű javítása 120 x 3 m</t>
  </si>
  <si>
    <t>Félegyházi Egészségügyi Nonprofit Kft - háziorvosi ügyelet 49.977 e/Ft + fajlagos összegű tám.kieg. 4.977 e/Ft. (305/2019. (XII.17.) öh.)</t>
  </si>
  <si>
    <t>VP6-7.2.1.4-17 tanyák háztartási léptékű villamos energia fejlesztése tervezés</t>
  </si>
  <si>
    <t>VP6-7.2.1.4-17 tanyák háztartási léptékű villamos energia fejlesztése közbeszerzés</t>
  </si>
  <si>
    <t>nyertes pályázat esetén elszámolható költség</t>
  </si>
  <si>
    <t>CLLD Kaffka M. u. járda</t>
  </si>
  <si>
    <t>Ipari park II. ütem régészeti munkákkal összefüggő többlet földmunkák</t>
  </si>
  <si>
    <t>Ipari park II. ütem lőszermentesítés</t>
  </si>
  <si>
    <t>Fenntartási kézikönyv (zöldváros)</t>
  </si>
  <si>
    <t>Zöldváros fedvény tervek</t>
  </si>
  <si>
    <t>Fidó Bácsi Közh. Alapítvány működtetési támogatása (303/2019.(XII.17) öh.)</t>
  </si>
  <si>
    <t>Sportorvosi feladatok ellátása 306/2019.(XII.17) öh. Dr. Szabó Ildikó</t>
  </si>
  <si>
    <r>
      <t xml:space="preserve">         641. Kfházi Képző- és Iparművészek Egyesülete </t>
    </r>
    <r>
      <rPr>
        <sz val="10"/>
        <rFont val="Times New Roman"/>
        <family val="1"/>
        <charset val="238"/>
      </rPr>
      <t>(293/2019.(XII.17.)öh)</t>
    </r>
  </si>
  <si>
    <r>
      <t xml:space="preserve">         642. Plain-Rock Egyesülete </t>
    </r>
    <r>
      <rPr>
        <sz val="10"/>
        <rFont val="Times New Roman"/>
        <family val="1"/>
        <charset val="238"/>
      </rPr>
      <t>(294/2019. és 295/2019.(XII.17.) öh)</t>
    </r>
  </si>
  <si>
    <r>
      <t xml:space="preserve">         643. Félegyházi Fejlesztési Nonprofit Kft. </t>
    </r>
    <r>
      <rPr>
        <sz val="10"/>
        <rFont val="Times New Roman"/>
        <family val="1"/>
        <charset val="238"/>
      </rPr>
      <t>(296/2019.(XII.17.) öh)</t>
    </r>
  </si>
  <si>
    <t xml:space="preserve">          744. Gazdakörök 2 db Leader pály. fejlesztési program tám. Visszafiz. (Halesz, Nagyszőlő úti)- 297/2019. és 298/2019.(XII.17.) öh.</t>
  </si>
  <si>
    <t>megrendelő</t>
  </si>
  <si>
    <t>Kiskunfélegyáza Város Roma Nemzetiségi Önkormányzat - Balatoni tábor, Roma Hagyományőrző Fesztivál támogatása</t>
  </si>
  <si>
    <t>TOP 1.1.1-16-BK1-2017-00003. Ipari Park fejlesztése-próbafeltárás</t>
  </si>
  <si>
    <t xml:space="preserve">           4022. Egyéb szolgáltatás (rendezvények, viziközmű érd.)</t>
  </si>
  <si>
    <t>Közfoglalkoztatási és diákmunka kiadások összesen</t>
  </si>
  <si>
    <t>838-8/2019/HERMAN</t>
  </si>
  <si>
    <t>2020.</t>
  </si>
  <si>
    <t>2. tábla</t>
  </si>
  <si>
    <t>Változás</t>
  </si>
  <si>
    <t>tény</t>
  </si>
  <si>
    <t xml:space="preserve">Önkormányzati bevételek és kiadások mérlegszerű bemutatása 2018-2020. években </t>
  </si>
  <si>
    <t xml:space="preserve">                 1151. Bérkompenzáció </t>
  </si>
  <si>
    <t xml:space="preserve">             16108. Innov.és Techn.Min - autómentes nap 2018-2019.</t>
  </si>
  <si>
    <t xml:space="preserve">             2516. Csólyosi út fejlesztése és gépbeszerzés - VP6-7.2.1.7.4.1.2-16. pályázat</t>
  </si>
  <si>
    <t xml:space="preserve">             2517. TOP-1.4.1-19. Móravárosi kétcsop.bölcsöde építése</t>
  </si>
  <si>
    <t xml:space="preserve">          745. Selymesért Egyesület tám.vfiz.</t>
  </si>
  <si>
    <t xml:space="preserve">          746. Petőfi Sándor Bajtársi Egyesület (299/2019.(XII.17.) öh.)</t>
  </si>
  <si>
    <t>Háziorvosi ügyeleti ellátás díja- Pe.átadáson tervezve</t>
  </si>
  <si>
    <t>GDPR megfelelőségi átvilágítás (Eu adatvéd. - Önk.szervei) 158/2018.öh. - Bolevácz és Vörös Ügyvédi Iroda - 2019-ben nincs számlázva</t>
  </si>
  <si>
    <t>5. melléklet</t>
  </si>
  <si>
    <t>6. melléklet</t>
  </si>
  <si>
    <t>Dolgozók lakásépítési alapja (bankszámla egyenleg 2019.dec.31.)</t>
  </si>
  <si>
    <t>Felhalmozási kiadások önk. saját erő</t>
  </si>
  <si>
    <t xml:space="preserve"> saját bevétel</t>
  </si>
  <si>
    <t xml:space="preserve">Félegyházi Térségi Sportiskola Nonprofit Kft - Honvéd sporttelep üzemeltetés </t>
  </si>
  <si>
    <t xml:space="preserve">    407.Egyéb működési bevételek (Viziközmű Társulattól átvett fea. - közműfejl.hj.törlesztő)</t>
  </si>
  <si>
    <t>ÁFA befizetés</t>
  </si>
  <si>
    <t>1. tábla</t>
  </si>
  <si>
    <t>Helyi önkormányzatok általános működésének és ágazati feladatainak támogatása</t>
  </si>
  <si>
    <t>a költségvetési törvény és a mutatószám felmérés alapján</t>
  </si>
  <si>
    <t>2019. évi</t>
  </si>
  <si>
    <t>2019. évi központi költségvetésből biztosított támogatás</t>
  </si>
  <si>
    <t>Hiv. sz.</t>
  </si>
  <si>
    <t>Mutatószám</t>
  </si>
  <si>
    <t>Fajlagos</t>
  </si>
  <si>
    <t>Helyi önkormányzatok működésének általános támogatása</t>
  </si>
  <si>
    <t>I.1. a)</t>
  </si>
  <si>
    <t>Támogatás összesen - beszámítás után</t>
  </si>
  <si>
    <t xml:space="preserve">Zöldterület-gazdálkodással kapcs. fa. ellátásának támog. </t>
  </si>
  <si>
    <t>I.1. ba)</t>
  </si>
  <si>
    <t xml:space="preserve">Közvilágítás fenntartásának támogatása </t>
  </si>
  <si>
    <t>I.1. bb)</t>
  </si>
  <si>
    <t>Köztemető fenntartással kapcsolatos feladatok támogatása</t>
  </si>
  <si>
    <t>I.1. bc)</t>
  </si>
  <si>
    <t>Közutak fenntartásának támogatása</t>
  </si>
  <si>
    <t>I.1. bd)</t>
  </si>
  <si>
    <t>Település-üzemeltetéshez kapcsolódó támogatás összesen</t>
  </si>
  <si>
    <t>Egyéb önkormányzati feladatok támogatása</t>
  </si>
  <si>
    <t>I.1. c)</t>
  </si>
  <si>
    <t>Egyéb önkormányzati feladatok támogatása - beszámítás után</t>
  </si>
  <si>
    <t>Lakott külterülettel kapcsolatos feladatok támogatása</t>
  </si>
  <si>
    <t>I.1. d)</t>
  </si>
  <si>
    <t>Üdülőhelyi feladatok támogatása</t>
  </si>
  <si>
    <t>I.1. e)</t>
  </si>
  <si>
    <t>A települési önkormányzatok műdödésének támogatása</t>
  </si>
  <si>
    <t>A települési önkormányzatok működésének támogatása beszámítás és kiegészítés után</t>
  </si>
  <si>
    <t>Nem közművel összegyűjtott háztartási szennyvíz ártalmatlanítása</t>
  </si>
  <si>
    <t>I.2.</t>
  </si>
  <si>
    <t xml:space="preserve">Összesen </t>
  </si>
  <si>
    <t>Települési önkormányzatok egyes köznevelési feladatainak támogatása</t>
  </si>
  <si>
    <t>Óvodapedagógusok, és az óvodapedagógusok nevelő munkáját közvetlenül segítők bértámogatása</t>
  </si>
  <si>
    <t>II. 1.</t>
  </si>
  <si>
    <t>Óvodapedagógusok elismert létszáma</t>
  </si>
  <si>
    <t>II.1.(1)1</t>
  </si>
  <si>
    <t>II.1.(1)2</t>
  </si>
  <si>
    <t>Pótlólagos összeg</t>
  </si>
  <si>
    <t>Óvodapedagógusok nevelő munkáját közvetlenül segítők száma</t>
  </si>
  <si>
    <t>II.1.(2)1</t>
  </si>
  <si>
    <t>II.1.(2)2</t>
  </si>
  <si>
    <t>Óvodaműködtetési támogatás</t>
  </si>
  <si>
    <t>II. 2.</t>
  </si>
  <si>
    <t>II.2.(1)1</t>
  </si>
  <si>
    <t>II.2.(1)2</t>
  </si>
  <si>
    <t>Köznevelési intézmények működtetéséhez kapcsolódó támogatás</t>
  </si>
  <si>
    <t>Kiegészítő támogatás az óvodapedagógusok minősítéséből adódó többletkiadásokhoz</t>
  </si>
  <si>
    <t>II.4.</t>
  </si>
  <si>
    <t>II..4a(1)</t>
  </si>
  <si>
    <t>II.4.b(1)</t>
  </si>
  <si>
    <t>II.4.a(2)</t>
  </si>
  <si>
    <t>II.4.b(2)</t>
  </si>
  <si>
    <t>Mesterfokozatú végzettségű óvodapedagógusok Pedagógus II. kategóriába sorolás kiegészítő támogatása</t>
  </si>
  <si>
    <t>II.5.(3)</t>
  </si>
  <si>
    <t>Mesterfokozatú végzettségű óvodapedagógusok Mesterpedagógus kategóriába sorolás kiegészítő támogatása</t>
  </si>
  <si>
    <t>II.5.(4)</t>
  </si>
  <si>
    <t>A települési önkormányzatok szociális gyermekjóléti és gyermekétkeztetési feladatainak támogatása</t>
  </si>
  <si>
    <t>Települési önkormányzatok szociális feladatainak egyéb támogatása</t>
  </si>
  <si>
    <t>III. 2.</t>
  </si>
  <si>
    <t>Egyes szociális és gyermekjóléti feladatok támogatása</t>
  </si>
  <si>
    <t>Család- és gyermekjóléti központ</t>
  </si>
  <si>
    <t>Szociális étkeztetés</t>
  </si>
  <si>
    <t>Házi segítségnyújtás</t>
  </si>
  <si>
    <t>Szociális segítés</t>
  </si>
  <si>
    <t>Személyi gondozás</t>
  </si>
  <si>
    <t>Tanyagondnoki szolgáltatás</t>
  </si>
  <si>
    <t>Időskorúak nappali intézményi ellátása</t>
  </si>
  <si>
    <t>Fogyatékos és demens személyek nappali intézményi ell.</t>
  </si>
  <si>
    <t>Hajléktalanok nappali intézményi ellátása</t>
  </si>
  <si>
    <t>Bölcsődei ellátás - nem fogyatékos, nem hátrányos helyzetű</t>
  </si>
  <si>
    <t>III. 3.ja(1)</t>
  </si>
  <si>
    <t>Bölcsődei ellátás - nem fogyatékos, hátrányos helyz.</t>
  </si>
  <si>
    <t>III. 3.ja(2)</t>
  </si>
  <si>
    <t>Bölcsődei ellátás - nem fogyatékos, halmozottan hátrányos helyz.</t>
  </si>
  <si>
    <t>III. 3.ja(3)</t>
  </si>
  <si>
    <t>Bölcsődei ellátás - fogyatékos gyermek</t>
  </si>
  <si>
    <t>III. 3.ja(4)</t>
  </si>
  <si>
    <t>Hajléktalanok átmeneti intézményei</t>
  </si>
  <si>
    <t>Óvodai és iskolai szociális segítő tevékenység</t>
  </si>
  <si>
    <t>Egyes szociális szakosított ellátások, valamint gyermekek átmeneti gondozásával kapcsolatos feladatok támogatása</t>
  </si>
  <si>
    <t>III. 4.</t>
  </si>
  <si>
    <t xml:space="preserve">      A finanszírozás szempontjából elismert szakmai dolgozók bértámogatása</t>
  </si>
  <si>
    <t>III. 4.a</t>
  </si>
  <si>
    <t>Időskorúak ápoló-gondozó otthoni ellátása, időskorúak gondozóháza</t>
  </si>
  <si>
    <t>Családok átmeneti otthona</t>
  </si>
  <si>
    <t>Helyettes szülő</t>
  </si>
  <si>
    <t xml:space="preserve">       Intézmény-üzemeltetési támogatás</t>
  </si>
  <si>
    <t>III. 4.b</t>
  </si>
  <si>
    <t>Gyermekek és családok átmeneti otthona</t>
  </si>
  <si>
    <t>Gyermekétkeztetés támogatása</t>
  </si>
  <si>
    <t>Finanszírozási szempontból elismert dolgozók bértámogatása</t>
  </si>
  <si>
    <t>III.5.aa)</t>
  </si>
  <si>
    <t>Bölcsődében elhelyezett gyermekek étkeztetésének támogatása</t>
  </si>
  <si>
    <t>Gyermekétkeztetés üzemeltetési támogatása</t>
  </si>
  <si>
    <t>III.5.ab)</t>
  </si>
  <si>
    <t>Rászoruló gyermekek intézményen kívüli szünidei étkeztetése</t>
  </si>
  <si>
    <t>Bölcsőde, minibölcsőde támogtása</t>
  </si>
  <si>
    <t>Bölcsőde szakmai dolgozók bértámogatása</t>
  </si>
  <si>
    <t>Bölcsődei üzemeltetési támogatás</t>
  </si>
  <si>
    <t>I., II., III. összesen</t>
  </si>
  <si>
    <t>A települési önkormányzatok kulturális feladatainak támgatása</t>
  </si>
  <si>
    <t>Települési önkormányzatok nyilvános könyvtári és közművelődési feladatainak támogatása</t>
  </si>
  <si>
    <t>Települési önkormányzatok muzeális intézményi feladatainak támogatása</t>
  </si>
  <si>
    <t>A települési önkormányzatok könyvtári célú érdekeltségnövelő támogatása</t>
  </si>
  <si>
    <t>IV. 1.i)</t>
  </si>
  <si>
    <t>2015. márc. 31.</t>
  </si>
  <si>
    <t xml:space="preserve">Mindösszesen </t>
  </si>
  <si>
    <t>2020. évi</t>
  </si>
  <si>
    <t>Változás 2019. évhez képest</t>
  </si>
  <si>
    <t>Önkormányzati hivatal működésének támogatása 1-2. hó</t>
  </si>
  <si>
    <t>Önkormányzati hivatal működésének támogatása 3-12. hó 
(kieg. felmérés)</t>
  </si>
  <si>
    <t>Beszámítás összege elvárható bevétel 2018. évi iparűzési adóalap 0,55 %-ának korrekcióval</t>
  </si>
  <si>
    <t>I.1. f)</t>
  </si>
  <si>
    <t>2020. évben 8 hónapra</t>
  </si>
  <si>
    <t>2020. évben 4 hónapra</t>
  </si>
  <si>
    <t>Alapfokozatú végzettségű óvodapedagógusok Pedagógus II. kategóriába sorolás kiegészítő támog. - minősítés 2019. évben</t>
  </si>
  <si>
    <t>Alapfokozatú végzettségű óvodapedagógusok Pedagógus II. kategóriába sorolás kiegészítő támog. - minősítés 2020. évben</t>
  </si>
  <si>
    <t>Alapfokozatú végzettségű óvodapedagógusok Mesterpedagógus kategóriába sorolás kiegészítő támog. - minősítés 2019. évben</t>
  </si>
  <si>
    <t>Alapfokozatú végzettségű óvodapedagógusok Mesterpedagógus kategóriába sorolás kiegészítő támog. - minősítés 2020. évben</t>
  </si>
  <si>
    <t>III.2.</t>
  </si>
  <si>
    <t>Család- és gyermekjóléti szolgálat 1-2. hó</t>
  </si>
  <si>
    <t>III. 2.a</t>
  </si>
  <si>
    <t>Család- és gyermekjóléti szolgálat 3-12. hó (kiegészítő felmérés)</t>
  </si>
  <si>
    <t>III. 2.b</t>
  </si>
  <si>
    <t>III. 2.c</t>
  </si>
  <si>
    <t>III. 2.da</t>
  </si>
  <si>
    <t>III. 2.db</t>
  </si>
  <si>
    <t>III. 2.e</t>
  </si>
  <si>
    <t>III. 2.f(1)</t>
  </si>
  <si>
    <t>III. 2.g(1)</t>
  </si>
  <si>
    <t>III. 2.i(1)</t>
  </si>
  <si>
    <t>III. 2.k(1)</t>
  </si>
  <si>
    <t>III. 2.n</t>
  </si>
  <si>
    <t>III. 3.a</t>
  </si>
  <si>
    <t>III.5.b)</t>
  </si>
  <si>
    <t>IV. 1.b)</t>
  </si>
  <si>
    <t>3. mell.</t>
  </si>
  <si>
    <t>me: Ft</t>
  </si>
  <si>
    <t xml:space="preserve">          16. Egyéb fejezeti kezelésű előirányzatból</t>
  </si>
  <si>
    <t>Félegyházi Egészségügyi Nonprofit Kft - volt SZTK ép. Rekonstrukció II. ütem (138/2019. (V.30.) öh.)</t>
  </si>
  <si>
    <t>2019.XII.31</t>
  </si>
  <si>
    <t>2023 és után</t>
  </si>
  <si>
    <t>13. melléklet</t>
  </si>
  <si>
    <t>"Városrészek megújulnak"- Petőfi lakótelep és Kaffka M. u. játszótér</t>
  </si>
  <si>
    <t>Állomány 2019.XII.31.</t>
  </si>
  <si>
    <t>Kazinczy u. 1.</t>
  </si>
  <si>
    <t>Félegyházi Asztalitenisz Sportiskola</t>
  </si>
  <si>
    <t>Kiskunfélegyházi Mazsorett Egyesület</t>
  </si>
  <si>
    <t>Kossuth u. 10. emelet 3 helyiség</t>
  </si>
  <si>
    <t>Kiskunfélegyházi Birkózó Sportegyesület</t>
  </si>
  <si>
    <t>Holló L. u. 11./4.</t>
  </si>
  <si>
    <t>Turul Koppány Íjászai Hagyományőrző Egyesület</t>
  </si>
  <si>
    <t>raktár, közösségi helyiség</t>
  </si>
  <si>
    <t>"Fidó-Bácsi" Közhasznú Alapítvány</t>
  </si>
  <si>
    <t>Tiszta Forrás Waldorf Egyesület</t>
  </si>
  <si>
    <t>61+80</t>
  </si>
  <si>
    <t>Fekete Pál sétány 4/2.</t>
  </si>
  <si>
    <t xml:space="preserve">Egészségdokk Közhasznú Alapítvány </t>
  </si>
  <si>
    <t>Mezőgazdasági és Élelmiszeripari Szakképző Iskola</t>
  </si>
  <si>
    <t>Mártírok útja 2.</t>
  </si>
  <si>
    <t>Plain - Rock Egyesület</t>
  </si>
  <si>
    <t>Jogging Plusz Sportegyesület</t>
  </si>
  <si>
    <t>Aki dudás akar lenni Egyesület</t>
  </si>
  <si>
    <t>Fekete Pál sétány 1.</t>
  </si>
  <si>
    <t>játszóház</t>
  </si>
  <si>
    <t>Mosoly Média Nonprofit Kft.</t>
  </si>
  <si>
    <t>Kossuth. u. 12.</t>
  </si>
  <si>
    <t>rádió, iroda</t>
  </si>
  <si>
    <t>Kiskunok Vidékéért Egyesület</t>
  </si>
  <si>
    <t>Korona u. 4. I.em.3.</t>
  </si>
  <si>
    <t>Kiskunfélegyházi Motorsport Egyesület</t>
  </si>
  <si>
    <t>Parkerdő 919/1 hrsz</t>
  </si>
  <si>
    <t>5 ha 1500</t>
  </si>
  <si>
    <t>motocross pálya</t>
  </si>
  <si>
    <t>Kiskunsági Sporthorgász Egyesület</t>
  </si>
  <si>
    <t>Lóúsztató 0329/14, 0331/1, 0333 hrsz</t>
  </si>
  <si>
    <t>6 ha 2365</t>
  </si>
  <si>
    <t>szabadidő park, horgásztó</t>
  </si>
  <si>
    <t>Záportározó Szabadidő Egyesület</t>
  </si>
  <si>
    <t>Záportározó 2199/4</t>
  </si>
  <si>
    <t>2 ha 450</t>
  </si>
  <si>
    <t xml:space="preserve">    feladatellátásért </t>
  </si>
  <si>
    <t>ilyen formában</t>
  </si>
  <si>
    <t xml:space="preserve">   az általuk ellátott közösségi</t>
  </si>
  <si>
    <t>Támogatott megnevezése</t>
  </si>
  <si>
    <t>Petőfi Lakótelepi Közösségi Ház</t>
  </si>
  <si>
    <t xml:space="preserve">E-útdíj szabályainak változása, egyéb Htv. változás, </t>
  </si>
  <si>
    <t>Htv 39/D. §., piaci szereplők gazdasági helyzetének változása miatt</t>
  </si>
  <si>
    <t xml:space="preserve">2020. eredeti ei. </t>
  </si>
  <si>
    <t>1. melléklet</t>
  </si>
  <si>
    <t>Félegyházi Fejlesztési Nonprofit Kft - Ipari park portaszolgálat működtetésre, működési kiadások támogatására</t>
  </si>
  <si>
    <t>Félegyházi Térségi Sportiskola Nonprofit Kft. Kosárlabda utánpótlás-nevelés műk-hez TAO önrész</t>
  </si>
  <si>
    <t>Bursa Hungarica ösztöndíj pályázat -MSZB hatáskör</t>
  </si>
  <si>
    <t>Házi szennyvízhálózat kiépítésének szociális támogatása</t>
  </si>
  <si>
    <t xml:space="preserve">Önkormányzat jogi képviselete </t>
  </si>
  <si>
    <t>TOP-1.4.1-19 Móraváros kétcsop.bölcsőde építése pályázat</t>
  </si>
  <si>
    <t>"Móravárosi kétcsoportos bölcsöde építése Kiskunfélegyházán" - TOP-1.4.1-19-BK1-2019-00011</t>
  </si>
  <si>
    <t>"Városrészek megújulnak" - TOP-7.1.-16-H-ERFA-2019-00157</t>
  </si>
  <si>
    <r>
      <rPr>
        <b/>
        <sz val="11"/>
        <rFont val="Times New Roman"/>
        <family val="1"/>
        <charset val="238"/>
      </rPr>
      <t xml:space="preserve">Kiskunfélegyházi Petőfi Sándor Városi Könyvtár </t>
    </r>
    <r>
      <rPr>
        <sz val="11"/>
        <rFont val="Times New Roman"/>
        <family val="1"/>
        <charset val="238"/>
      </rPr>
      <t>(Konzorciumi partner) - "A könyvtár Tudás-Esély Minden-Kor! - EFOP-3.7.3-16-2017-00300</t>
    </r>
  </si>
  <si>
    <r>
      <rPr>
        <b/>
        <sz val="11"/>
        <rFont val="Times New Roman"/>
        <family val="1"/>
        <charset val="238"/>
      </rPr>
      <t>Kiskun Múzeum</t>
    </r>
    <r>
      <rPr>
        <sz val="11"/>
        <rFont val="Times New Roman"/>
        <family val="1"/>
        <charset val="238"/>
      </rPr>
      <t xml:space="preserve"> - Interreg - IPA program - "Magyarország-Szerbia határon átnyúló tematikus út a malmok, szélmalmok jegyében" - HUSRB/1602/31/0252</t>
    </r>
  </si>
  <si>
    <r>
      <rPr>
        <b/>
        <sz val="11"/>
        <rFont val="Times New Roman"/>
        <family val="1"/>
        <charset val="238"/>
      </rPr>
      <t xml:space="preserve">Kiskun Múzeum </t>
    </r>
    <r>
      <rPr>
        <sz val="11"/>
        <rFont val="Times New Roman"/>
        <family val="1"/>
        <charset val="238"/>
      </rPr>
      <t>- "TUDÁS-TÁR - ÉLMÉNY-TÉR, Kiskun Múzeum Múzeumi tanulmánytár az egész életen át tartó tanulás szolgálatában" - EFOP-4.1.9-16-2017-00044 - Záró elszámolás elfogadása folyamatban,</t>
    </r>
  </si>
  <si>
    <r>
      <rPr>
        <b/>
        <sz val="11"/>
        <rFont val="Times New Roman"/>
        <family val="1"/>
        <charset val="238"/>
      </rPr>
      <t>Kiskunfélegyháza Város Önkormányzata</t>
    </r>
    <r>
      <rPr>
        <sz val="11"/>
        <rFont val="Times New Roman"/>
        <family val="1"/>
        <charset val="238"/>
      </rPr>
      <t xml:space="preserve"> - "Kiskunfélegyháza Város Önkormányzata ASP Központhoz való csatlakozása" - KÖFOP-1.2.1-VEKOP-16-2017-00888 - Záró elszámolási csomag elfogadása: 2019.09.30.</t>
    </r>
  </si>
  <si>
    <r>
      <rPr>
        <b/>
        <sz val="11"/>
        <rFont val="Times New Roman"/>
        <family val="1"/>
        <charset val="238"/>
      </rPr>
      <t>Kiskunfélegyháza Város Önkormányzata</t>
    </r>
    <r>
      <rPr>
        <sz val="11"/>
        <rFont val="Times New Roman"/>
        <family val="1"/>
        <charset val="238"/>
      </rPr>
      <t xml:space="preserve"> - "A foglalkoztatás és az életminőség javítása családbarát, munkába állást segítő intézmények, közszolgáltatások fejlesztésével" - KAPOCS Szociális és Gyermekvédelmi Intézmény bölcsödéinek eszközfejlesztése - TOP-1.4.1-15-BK1-2016-00011 - Záró beszámoló </t>
    </r>
  </si>
  <si>
    <t>Projekt fizikai megvalósítás kezdési és befejezési időpontja: 2017.07.01-2020.03.31</t>
  </si>
  <si>
    <t>Projekt fizikai megvalósítás kezdési és befejezési időpontja: 2018.07.01-2019.12.31</t>
  </si>
  <si>
    <t>Projekt fizikai megvalósítás kezdési és befejezési időpontja: 2019.01.15 - 2020.06.30</t>
  </si>
  <si>
    <t>Projekt fizikai megvalósítás kezdési és befejezési időpontja: 2018.03.31. - 2020.02.28</t>
  </si>
  <si>
    <t>NEAK</t>
  </si>
  <si>
    <t>Buszjárat Kecskemét Kórházhoz - szolg.szerződés - 2020. február 29-ig</t>
  </si>
  <si>
    <t>Önkormányzati általános igazgatás (munkavédelem 380, kiadványok 3 millió, esélyegyenl.képzés 50)</t>
  </si>
  <si>
    <t>TOP-2.1.2-12-BK1-2016-00004 -"Félegyháza Újjáépül"-Zöldváros kialakítása</t>
  </si>
  <si>
    <t xml:space="preserve">Petőfi Népe - Médiaworks Hungary Zrt. </t>
  </si>
  <si>
    <t>2025-2034.</t>
  </si>
  <si>
    <t>Könyvvizsgálói feladatokra - 136/2019. (V.30.) öh.</t>
  </si>
  <si>
    <t>Gyepmesteri telep működtetésére - 303/2019. (XII.17.) öh.</t>
  </si>
  <si>
    <t>Szent István Plébánia Közösségi Ház építéséhez támogatás -292/2019. (XII.17.) öh.</t>
  </si>
  <si>
    <t xml:space="preserve">Közterületi és egyéb fejlesztési feladatok  </t>
  </si>
  <si>
    <t>Előirányzat-felhasználási ütemterv - 2020</t>
  </si>
  <si>
    <t>Eredeti ei.</t>
  </si>
  <si>
    <t>Eredeti</t>
  </si>
  <si>
    <t>Módos. Ei.</t>
  </si>
  <si>
    <t>módos. ei.</t>
  </si>
  <si>
    <t>Módos.ei.</t>
  </si>
  <si>
    <t>módos.ei.</t>
  </si>
  <si>
    <t>Országos Egyesület a Mosolyért KHE részére a Mentőállomás eszközfejlesztésre</t>
  </si>
  <si>
    <t xml:space="preserve">Kunszentmárton Város Önkorm. – XI. Jászkunság kutatása konferenciakötetre      </t>
  </si>
  <si>
    <t>Költségvetési szerveknél foglalkoztatottak 2020. évi bérkompenzációja</t>
  </si>
  <si>
    <t>2019.12 hó után járó (eFt)</t>
  </si>
  <si>
    <t>2020.01. hó után járó (eFt)</t>
  </si>
  <si>
    <t>2020. I.rend.mód.</t>
  </si>
  <si>
    <t>közterhekkel növelt bruttó összeg</t>
  </si>
  <si>
    <t>bruttó bér</t>
  </si>
  <si>
    <t>szoc.hj.adó</t>
  </si>
  <si>
    <t>finanszírozás</t>
  </si>
  <si>
    <t xml:space="preserve">Polgármesteri Hivatal </t>
  </si>
  <si>
    <t>Napközi Otthonos Óvoda</t>
  </si>
  <si>
    <t>P.S. Városi Könyvtár</t>
  </si>
  <si>
    <t>Kapocs Szociális Gy.és Eü-i I.</t>
  </si>
  <si>
    <t>Szivárvány Sz. G. Ny. Intézmény</t>
  </si>
  <si>
    <t>M.F. Művelődési Központ</t>
  </si>
  <si>
    <t>önkormányzat összesen:</t>
  </si>
  <si>
    <t>Polgárm.keretből: Mezőgazdasági és Élelmiszeripari Szakgimn. és SZKI - hagyományápolás, helyi népszokások népszerűsítése</t>
  </si>
  <si>
    <t>a) Mosoly Média Nonprofit Kft.</t>
  </si>
  <si>
    <t>4. melléklet</t>
  </si>
  <si>
    <t>BKM Kórház Kfházi Telephely támog. (304/2019. (XII.17.) öh.)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</si>
</sst>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_F_t_-;\-* #,##0.00\ _F_t_-;_-* &quot;-&quot;??\ _F_t_-;_-@_-"/>
    <numFmt numFmtId="165" formatCode="#,##0.0"/>
    <numFmt numFmtId="166" formatCode="#,##0.000"/>
    <numFmt numFmtId="167" formatCode="0.0%"/>
    <numFmt numFmtId="168" formatCode="0.0000%"/>
  </numFmts>
  <fonts count="72">
    <font>
      <sz val="9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sz val="10"/>
      <name val="Arial"/>
      <family val="2"/>
      <charset val="238"/>
    </font>
    <font>
      <b/>
      <u/>
      <sz val="12"/>
      <name val="Times New Roman"/>
      <family val="1"/>
      <charset val="238"/>
    </font>
    <font>
      <b/>
      <sz val="11"/>
      <name val="Times New Roman"/>
      <family val="1"/>
      <charset val="238"/>
    </font>
    <font>
      <b/>
      <u/>
      <sz val="13"/>
      <name val="Times New Roman"/>
      <family val="1"/>
      <charset val="238"/>
    </font>
    <font>
      <b/>
      <u/>
      <sz val="14"/>
      <name val="Times New Roman"/>
      <family val="1"/>
      <charset val="238"/>
    </font>
    <font>
      <b/>
      <i/>
      <sz val="11"/>
      <name val="Times New Roman"/>
      <family val="1"/>
      <charset val="238"/>
    </font>
    <font>
      <b/>
      <i/>
      <sz val="11"/>
      <color indexed="8"/>
      <name val="Times New Roman"/>
      <family val="1"/>
      <charset val="238"/>
    </font>
    <font>
      <sz val="10"/>
      <name val="Arial CE"/>
      <charset val="238"/>
    </font>
    <font>
      <i/>
      <sz val="11"/>
      <name val="Times New Roman"/>
      <family val="1"/>
      <charset val="238"/>
    </font>
    <font>
      <sz val="10"/>
      <name val="Times New Roman"/>
      <family val="1"/>
      <charset val="238"/>
    </font>
    <font>
      <b/>
      <sz val="14"/>
      <name val="Times New Roman"/>
      <family val="1"/>
      <charset val="238"/>
    </font>
    <font>
      <sz val="14"/>
      <name val="Times New Roman"/>
      <family val="1"/>
      <charset val="238"/>
    </font>
    <font>
      <sz val="12"/>
      <name val="Times New Roman"/>
      <family val="1"/>
      <charset val="238"/>
    </font>
    <font>
      <b/>
      <i/>
      <sz val="12"/>
      <name val="Times New Roman"/>
      <family val="1"/>
      <charset val="238"/>
    </font>
    <font>
      <i/>
      <sz val="12"/>
      <name val="Times New Roman"/>
      <family val="1"/>
      <charset val="238"/>
    </font>
    <font>
      <i/>
      <sz val="11"/>
      <color indexed="8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u/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i/>
      <sz val="10"/>
      <name val="Times New Roman"/>
      <family val="1"/>
      <charset val="238"/>
    </font>
    <font>
      <b/>
      <sz val="13"/>
      <name val="Times New Roman"/>
      <family val="1"/>
      <charset val="238"/>
    </font>
    <font>
      <sz val="9"/>
      <name val="Arial"/>
      <family val="2"/>
      <charset val="238"/>
    </font>
    <font>
      <b/>
      <u/>
      <sz val="11"/>
      <name val="Times New Roman"/>
      <family val="1"/>
      <charset val="238"/>
    </font>
    <font>
      <sz val="12"/>
      <name val="Times New Roman"/>
      <family val="1"/>
      <charset val="238"/>
    </font>
    <font>
      <sz val="9"/>
      <name val="Times New Roman"/>
      <family val="1"/>
      <charset val="238"/>
    </font>
    <font>
      <sz val="12"/>
      <color rgb="FFFF0000"/>
      <name val="Times New Roman"/>
      <family val="1"/>
      <charset val="238"/>
    </font>
    <font>
      <sz val="13"/>
      <name val="Times New Roman"/>
      <family val="1"/>
      <charset val="238"/>
    </font>
    <font>
      <b/>
      <sz val="16"/>
      <name val="Times New Roman"/>
      <family val="1"/>
      <charset val="238"/>
    </font>
    <font>
      <i/>
      <sz val="9"/>
      <name val="Times New Roman"/>
      <family val="1"/>
      <charset val="238"/>
    </font>
    <font>
      <sz val="12"/>
      <name val="Times New Roman"/>
      <family val="1"/>
      <charset val="238"/>
    </font>
    <font>
      <sz val="12"/>
      <name val="Wingdings"/>
      <charset val="2"/>
    </font>
    <font>
      <b/>
      <sz val="9"/>
      <name val="Arial"/>
      <family val="2"/>
      <charset val="238"/>
    </font>
    <font>
      <u/>
      <sz val="12"/>
      <name val="Times New Roman"/>
      <family val="1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0"/>
      <name val="MS Sans Serif"/>
      <family val="2"/>
      <charset val="238"/>
    </font>
    <font>
      <sz val="10"/>
      <name val="Brooklyn"/>
      <charset val="238"/>
    </font>
    <font>
      <b/>
      <sz val="11"/>
      <color indexed="8"/>
      <name val="Calibri"/>
      <family val="2"/>
      <charset val="238"/>
    </font>
    <font>
      <sz val="11"/>
      <color indexed="20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52"/>
      <name val="Calibri"/>
      <family val="2"/>
      <charset val="238"/>
    </font>
    <font>
      <sz val="11.5"/>
      <name val="Times New Roman"/>
      <family val="1"/>
      <charset val="238"/>
    </font>
    <font>
      <sz val="11"/>
      <color theme="1"/>
      <name val="Times New Roman"/>
      <family val="1"/>
      <charset val="238"/>
    </font>
    <font>
      <strike/>
      <sz val="12"/>
      <name val="Times New Roman"/>
      <family val="1"/>
      <charset val="238"/>
    </font>
    <font>
      <sz val="8"/>
      <name val="Times New Roman"/>
      <family val="1"/>
      <charset val="238"/>
    </font>
  </fonts>
  <fills count="3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43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45">
    <xf numFmtId="0" fontId="0" fillId="0" borderId="0"/>
    <xf numFmtId="0" fontId="15" fillId="0" borderId="0"/>
    <xf numFmtId="0" fontId="22" fillId="0" borderId="0"/>
    <xf numFmtId="0" fontId="15" fillId="0" borderId="0"/>
    <xf numFmtId="0" fontId="12" fillId="0" borderId="0"/>
    <xf numFmtId="0" fontId="12" fillId="0" borderId="0"/>
    <xf numFmtId="0" fontId="37" fillId="0" borderId="0"/>
    <xf numFmtId="0" fontId="37" fillId="0" borderId="0"/>
    <xf numFmtId="0" fontId="39" fillId="0" borderId="0"/>
    <xf numFmtId="0" fontId="22" fillId="0" borderId="0"/>
    <xf numFmtId="0" fontId="12" fillId="0" borderId="0"/>
    <xf numFmtId="0" fontId="15" fillId="0" borderId="0"/>
    <xf numFmtId="0" fontId="22" fillId="0" borderId="0"/>
    <xf numFmtId="0" fontId="15" fillId="0" borderId="0"/>
    <xf numFmtId="0" fontId="11" fillId="0" borderId="0"/>
    <xf numFmtId="0" fontId="10" fillId="0" borderId="0"/>
    <xf numFmtId="0" fontId="45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22" fillId="0" borderId="0"/>
    <xf numFmtId="0" fontId="15" fillId="0" borderId="0"/>
    <xf numFmtId="9" fontId="15" fillId="0" borderId="0" applyFont="0" applyFill="0" applyBorder="0" applyAlignment="0" applyProtection="0"/>
    <xf numFmtId="0" fontId="7" fillId="0" borderId="0"/>
    <xf numFmtId="0" fontId="6" fillId="0" borderId="0"/>
    <xf numFmtId="0" fontId="6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7" fillId="0" borderId="0"/>
    <xf numFmtId="0" fontId="49" fillId="13" borderId="0" applyNumberFormat="0" applyBorder="0" applyAlignment="0" applyProtection="0"/>
    <xf numFmtId="0" fontId="49" fillId="14" borderId="0" applyNumberFormat="0" applyBorder="0" applyAlignment="0" applyProtection="0"/>
    <xf numFmtId="0" fontId="49" fillId="15" borderId="0" applyNumberFormat="0" applyBorder="0" applyAlignment="0" applyProtection="0"/>
    <xf numFmtId="0" fontId="49" fillId="16" borderId="0" applyNumberFormat="0" applyBorder="0" applyAlignment="0" applyProtection="0"/>
    <xf numFmtId="0" fontId="49" fillId="17" borderId="0" applyNumberFormat="0" applyBorder="0" applyAlignment="0" applyProtection="0"/>
    <xf numFmtId="0" fontId="49" fillId="18" borderId="0" applyNumberFormat="0" applyBorder="0" applyAlignment="0" applyProtection="0"/>
    <xf numFmtId="0" fontId="49" fillId="20" borderId="0" applyNumberFormat="0" applyBorder="0" applyAlignment="0" applyProtection="0"/>
    <xf numFmtId="0" fontId="49" fillId="21" borderId="0" applyNumberFormat="0" applyBorder="0" applyAlignment="0" applyProtection="0"/>
    <xf numFmtId="0" fontId="49" fillId="22" borderId="0" applyNumberFormat="0" applyBorder="0" applyAlignment="0" applyProtection="0"/>
    <xf numFmtId="0" fontId="49" fillId="16" borderId="0" applyNumberFormat="0" applyBorder="0" applyAlignment="0" applyProtection="0"/>
    <xf numFmtId="0" fontId="49" fillId="20" borderId="0" applyNumberFormat="0" applyBorder="0" applyAlignment="0" applyProtection="0"/>
    <xf numFmtId="0" fontId="49" fillId="23" borderId="0" applyNumberFormat="0" applyBorder="0" applyAlignment="0" applyProtection="0"/>
    <xf numFmtId="0" fontId="50" fillId="25" borderId="0" applyNumberFormat="0" applyBorder="0" applyAlignment="0" applyProtection="0"/>
    <xf numFmtId="0" fontId="50" fillId="21" borderId="0" applyNumberFormat="0" applyBorder="0" applyAlignment="0" applyProtection="0"/>
    <xf numFmtId="0" fontId="50" fillId="22" borderId="0" applyNumberFormat="0" applyBorder="0" applyAlignment="0" applyProtection="0"/>
    <xf numFmtId="0" fontId="50" fillId="19" borderId="0" applyNumberFormat="0" applyBorder="0" applyAlignment="0" applyProtection="0"/>
    <xf numFmtId="0" fontId="50" fillId="24" borderId="0" applyNumberFormat="0" applyBorder="0" applyAlignment="0" applyProtection="0"/>
    <xf numFmtId="0" fontId="50" fillId="26" borderId="0" applyNumberFormat="0" applyBorder="0" applyAlignment="0" applyProtection="0"/>
    <xf numFmtId="0" fontId="51" fillId="18" borderId="11" applyNumberFormat="0" applyAlignment="0" applyProtection="0"/>
    <xf numFmtId="0" fontId="52" fillId="0" borderId="0" applyNumberFormat="0" applyFill="0" applyBorder="0" applyAlignment="0" applyProtection="0"/>
    <xf numFmtId="0" fontId="53" fillId="0" borderId="12" applyNumberFormat="0" applyFill="0" applyAlignment="0" applyProtection="0"/>
    <xf numFmtId="0" fontId="54" fillId="0" borderId="13" applyNumberFormat="0" applyFill="0" applyAlignment="0" applyProtection="0"/>
    <xf numFmtId="0" fontId="55" fillId="0" borderId="14" applyNumberFormat="0" applyFill="0" applyAlignment="0" applyProtection="0"/>
    <xf numFmtId="0" fontId="55" fillId="0" borderId="0" applyNumberFormat="0" applyFill="0" applyBorder="0" applyAlignment="0" applyProtection="0"/>
    <xf numFmtId="0" fontId="56" fillId="27" borderId="15" applyNumberFormat="0" applyAlignment="0" applyProtection="0"/>
    <xf numFmtId="164" fontId="15" fillId="0" borderId="0" applyFont="0" applyFill="0" applyBorder="0" applyAlignment="0" applyProtection="0"/>
    <xf numFmtId="164" fontId="15" fillId="0" borderId="0" applyFill="0" applyBorder="0" applyAlignment="0" applyProtection="0"/>
    <xf numFmtId="164" fontId="15" fillId="0" borderId="0" applyFont="0" applyFill="0" applyBorder="0" applyAlignment="0" applyProtection="0"/>
    <xf numFmtId="164" fontId="37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16" applyNumberFormat="0" applyFill="0" applyAlignment="0" applyProtection="0"/>
    <xf numFmtId="0" fontId="22" fillId="28" borderId="17" applyNumberFormat="0" applyFont="0" applyAlignment="0" applyProtection="0"/>
    <xf numFmtId="0" fontId="59" fillId="15" borderId="0" applyNumberFormat="0" applyBorder="0" applyAlignment="0" applyProtection="0"/>
    <xf numFmtId="0" fontId="60" fillId="29" borderId="18" applyNumberFormat="0" applyAlignment="0" applyProtection="0"/>
    <xf numFmtId="0" fontId="61" fillId="0" borderId="0" applyNumberFormat="0" applyFill="0" applyBorder="0" applyAlignment="0" applyProtection="0"/>
    <xf numFmtId="0" fontId="49" fillId="0" borderId="0"/>
    <xf numFmtId="0" fontId="49" fillId="0" borderId="0"/>
    <xf numFmtId="0" fontId="62" fillId="0" borderId="0"/>
    <xf numFmtId="0" fontId="15" fillId="0" borderId="0"/>
    <xf numFmtId="0" fontId="62" fillId="0" borderId="0"/>
    <xf numFmtId="0" fontId="15" fillId="0" borderId="0"/>
    <xf numFmtId="0" fontId="15" fillId="0" borderId="0"/>
    <xf numFmtId="0" fontId="15" fillId="0" borderId="0"/>
    <xf numFmtId="0" fontId="49" fillId="0" borderId="0"/>
    <xf numFmtId="0" fontId="49" fillId="0" borderId="0"/>
    <xf numFmtId="0" fontId="15" fillId="0" borderId="0"/>
    <xf numFmtId="0" fontId="22" fillId="0" borderId="0" applyNumberFormat="0" applyFill="0" applyBorder="0" applyAlignment="0" applyProtection="0"/>
    <xf numFmtId="0" fontId="49" fillId="0" borderId="0"/>
    <xf numFmtId="0" fontId="22" fillId="0" borderId="0" applyNumberFormat="0" applyFill="0" applyBorder="0" applyAlignment="0" applyProtection="0"/>
    <xf numFmtId="0" fontId="15" fillId="0" borderId="0">
      <alignment vertical="top"/>
    </xf>
    <xf numFmtId="0" fontId="15" fillId="0" borderId="0"/>
    <xf numFmtId="0" fontId="22" fillId="0" borderId="0"/>
    <xf numFmtId="0" fontId="22" fillId="0" borderId="0"/>
    <xf numFmtId="0" fontId="63" fillId="0" borderId="0"/>
    <xf numFmtId="0" fontId="15" fillId="0" borderId="0"/>
    <xf numFmtId="0" fontId="62" fillId="0" borderId="0"/>
    <xf numFmtId="0" fontId="49" fillId="0" borderId="0"/>
    <xf numFmtId="0" fontId="15" fillId="0" borderId="0" applyNumberFormat="0" applyFill="0" applyBorder="0" applyAlignment="0" applyProtection="0"/>
    <xf numFmtId="0" fontId="64" fillId="0" borderId="19" applyNumberFormat="0" applyFill="0" applyAlignment="0" applyProtection="0"/>
    <xf numFmtId="0" fontId="65" fillId="14" borderId="0" applyNumberFormat="0" applyBorder="0" applyAlignment="0" applyProtection="0"/>
    <xf numFmtId="0" fontId="66" fillId="30" borderId="0" applyNumberFormat="0" applyBorder="0" applyAlignment="0" applyProtection="0"/>
    <xf numFmtId="0" fontId="67" fillId="29" borderId="11" applyNumberFormat="0" applyAlignment="0" applyProtection="0"/>
    <xf numFmtId="9" fontId="37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7" fillId="0" borderId="0"/>
  </cellStyleXfs>
  <cellXfs count="858">
    <xf numFmtId="0" fontId="0" fillId="0" borderId="0" xfId="0"/>
    <xf numFmtId="3" fontId="13" fillId="0" borderId="0" xfId="0" applyNumberFormat="1" applyFont="1" applyAlignment="1">
      <alignment vertical="center" wrapText="1"/>
    </xf>
    <xf numFmtId="3" fontId="13" fillId="0" borderId="0" xfId="0" applyNumberFormat="1" applyFont="1" applyFill="1" applyAlignment="1">
      <alignment vertical="center"/>
    </xf>
    <xf numFmtId="3" fontId="13" fillId="0" borderId="0" xfId="0" applyNumberFormat="1" applyFont="1" applyAlignment="1">
      <alignment vertical="center"/>
    </xf>
    <xf numFmtId="3" fontId="14" fillId="0" borderId="0" xfId="1" applyNumberFormat="1" applyFont="1" applyBorder="1" applyAlignment="1">
      <alignment horizontal="left" vertical="center" wrapText="1"/>
    </xf>
    <xf numFmtId="3" fontId="14" fillId="0" borderId="0" xfId="1" applyNumberFormat="1" applyFont="1" applyFill="1" applyBorder="1" applyAlignment="1">
      <alignment horizontal="left" vertical="center"/>
    </xf>
    <xf numFmtId="3" fontId="14" fillId="0" borderId="1" xfId="0" applyNumberFormat="1" applyFont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center" vertical="center" wrapText="1"/>
    </xf>
    <xf numFmtId="3" fontId="17" fillId="0" borderId="1" xfId="0" applyNumberFormat="1" applyFont="1" applyBorder="1" applyAlignment="1">
      <alignment horizontal="center" vertical="center" wrapText="1"/>
    </xf>
    <xf numFmtId="3" fontId="14" fillId="0" borderId="1" xfId="0" applyNumberFormat="1" applyFont="1" applyBorder="1" applyAlignment="1">
      <alignment horizontal="center" vertical="center"/>
    </xf>
    <xf numFmtId="3" fontId="20" fillId="0" borderId="1" xfId="0" applyNumberFormat="1" applyFont="1" applyBorder="1" applyAlignment="1">
      <alignment vertical="center" wrapText="1"/>
    </xf>
    <xf numFmtId="3" fontId="21" fillId="0" borderId="1" xfId="0" applyNumberFormat="1" applyFont="1" applyFill="1" applyBorder="1" applyAlignment="1">
      <alignment horizontal="left" vertical="center" wrapText="1"/>
    </xf>
    <xf numFmtId="3" fontId="13" fillId="0" borderId="1" xfId="0" applyNumberFormat="1" applyFont="1" applyBorder="1" applyAlignment="1">
      <alignment vertical="center" wrapText="1"/>
    </xf>
    <xf numFmtId="3" fontId="13" fillId="0" borderId="1" xfId="0" applyNumberFormat="1" applyFont="1" applyFill="1" applyBorder="1" applyAlignment="1">
      <alignment vertical="center"/>
    </xf>
    <xf numFmtId="3" fontId="20" fillId="0" borderId="1" xfId="0" applyNumberFormat="1" applyFont="1" applyBorder="1" applyAlignment="1">
      <alignment horizontal="left" vertical="center" wrapText="1"/>
    </xf>
    <xf numFmtId="3" fontId="20" fillId="0" borderId="1" xfId="2" applyNumberFormat="1" applyFont="1" applyBorder="1" applyAlignment="1">
      <alignment horizontal="left" vertical="center" wrapText="1"/>
    </xf>
    <xf numFmtId="3" fontId="23" fillId="0" borderId="1" xfId="0" applyNumberFormat="1" applyFont="1" applyBorder="1" applyAlignment="1">
      <alignment vertical="center" wrapText="1"/>
    </xf>
    <xf numFmtId="3" fontId="13" fillId="0" borderId="1" xfId="0" applyNumberFormat="1" applyFont="1" applyBorder="1" applyAlignment="1">
      <alignment horizontal="right" vertical="center"/>
    </xf>
    <xf numFmtId="3" fontId="13" fillId="0" borderId="1" xfId="0" applyNumberFormat="1" applyFont="1" applyBorder="1" applyAlignment="1">
      <alignment vertical="center"/>
    </xf>
    <xf numFmtId="3" fontId="13" fillId="0" borderId="1" xfId="0" applyNumberFormat="1" applyFont="1" applyFill="1" applyBorder="1" applyAlignment="1">
      <alignment horizontal="right" vertical="center" wrapText="1"/>
    </xf>
    <xf numFmtId="3" fontId="20" fillId="0" borderId="1" xfId="0" applyNumberFormat="1" applyFont="1" applyFill="1" applyBorder="1" applyAlignment="1">
      <alignment vertical="center"/>
    </xf>
    <xf numFmtId="3" fontId="17" fillId="0" borderId="1" xfId="0" applyNumberFormat="1" applyFont="1" applyFill="1" applyBorder="1" applyAlignment="1">
      <alignment horizontal="right" vertical="center"/>
    </xf>
    <xf numFmtId="3" fontId="13" fillId="0" borderId="0" xfId="0" applyNumberFormat="1" applyFont="1" applyBorder="1" applyAlignment="1">
      <alignment vertical="center"/>
    </xf>
    <xf numFmtId="2" fontId="13" fillId="0" borderId="1" xfId="0" applyNumberFormat="1" applyFont="1" applyBorder="1" applyAlignment="1">
      <alignment vertical="center" wrapText="1"/>
    </xf>
    <xf numFmtId="3" fontId="13" fillId="0" borderId="1" xfId="3" applyNumberFormat="1" applyFont="1" applyFill="1" applyBorder="1" applyAlignment="1">
      <alignment vertical="center" wrapText="1"/>
    </xf>
    <xf numFmtId="3" fontId="13" fillId="0" borderId="1" xfId="0" applyNumberFormat="1" applyFont="1" applyBorder="1" applyAlignment="1">
      <alignment horizontal="left" vertical="center" wrapText="1"/>
    </xf>
    <xf numFmtId="3" fontId="17" fillId="0" borderId="1" xfId="0" applyNumberFormat="1" applyFont="1" applyBorder="1" applyAlignment="1">
      <alignment vertical="center" wrapText="1"/>
    </xf>
    <xf numFmtId="3" fontId="17" fillId="0" borderId="1" xfId="0" applyNumberFormat="1" applyFont="1" applyFill="1" applyBorder="1" applyAlignment="1">
      <alignment vertical="center"/>
    </xf>
    <xf numFmtId="3" fontId="25" fillId="0" borderId="1" xfId="0" applyNumberFormat="1" applyFont="1" applyBorder="1" applyAlignment="1">
      <alignment vertical="center" wrapText="1"/>
    </xf>
    <xf numFmtId="3" fontId="25" fillId="0" borderId="1" xfId="0" applyNumberFormat="1" applyFont="1" applyFill="1" applyBorder="1" applyAlignment="1">
      <alignment vertical="center"/>
    </xf>
    <xf numFmtId="3" fontId="26" fillId="0" borderId="0" xfId="0" applyNumberFormat="1" applyFont="1" applyAlignment="1">
      <alignment vertical="center"/>
    </xf>
    <xf numFmtId="3" fontId="25" fillId="0" borderId="1" xfId="0" applyNumberFormat="1" applyFont="1" applyFill="1" applyBorder="1" applyAlignment="1">
      <alignment horizontal="right" vertical="center"/>
    </xf>
    <xf numFmtId="3" fontId="14" fillId="0" borderId="1" xfId="0" applyNumberFormat="1" applyFont="1" applyBorder="1" applyAlignment="1">
      <alignment vertical="center" wrapText="1"/>
    </xf>
    <xf numFmtId="3" fontId="27" fillId="0" borderId="0" xfId="0" applyNumberFormat="1" applyFont="1" applyAlignment="1">
      <alignment vertical="center"/>
    </xf>
    <xf numFmtId="3" fontId="28" fillId="0" borderId="1" xfId="0" applyNumberFormat="1" applyFont="1" applyBorder="1" applyAlignment="1">
      <alignment vertical="center" wrapText="1"/>
    </xf>
    <xf numFmtId="3" fontId="28" fillId="0" borderId="1" xfId="0" applyNumberFormat="1" applyFont="1" applyFill="1" applyBorder="1" applyAlignment="1">
      <alignment horizontal="right" vertical="center"/>
    </xf>
    <xf numFmtId="3" fontId="29" fillId="0" borderId="0" xfId="0" applyNumberFormat="1" applyFont="1" applyAlignment="1">
      <alignment vertical="center"/>
    </xf>
    <xf numFmtId="3" fontId="23" fillId="0" borderId="0" xfId="0" applyNumberFormat="1" applyFont="1" applyAlignment="1">
      <alignment vertical="center"/>
    </xf>
    <xf numFmtId="3" fontId="13" fillId="0" borderId="1" xfId="0" applyNumberFormat="1" applyFont="1" applyBorder="1" applyAlignment="1">
      <alignment horizontal="center" vertical="center"/>
    </xf>
    <xf numFmtId="3" fontId="28" fillId="0" borderId="1" xfId="0" applyNumberFormat="1" applyFont="1" applyBorder="1" applyAlignment="1">
      <alignment horizontal="left" vertical="center" wrapText="1"/>
    </xf>
    <xf numFmtId="3" fontId="14" fillId="0" borderId="1" xfId="0" applyNumberFormat="1" applyFont="1" applyBorder="1" applyAlignment="1">
      <alignment horizontal="left" vertical="center" wrapText="1"/>
    </xf>
    <xf numFmtId="3" fontId="14" fillId="0" borderId="1" xfId="0" applyNumberFormat="1" applyFont="1" applyBorder="1" applyAlignment="1">
      <alignment vertical="center"/>
    </xf>
    <xf numFmtId="3" fontId="30" fillId="0" borderId="1" xfId="0" applyNumberFormat="1" applyFont="1" applyFill="1" applyBorder="1" applyAlignment="1">
      <alignment horizontal="left" vertical="center" wrapText="1"/>
    </xf>
    <xf numFmtId="3" fontId="23" fillId="0" borderId="1" xfId="0" applyNumberFormat="1" applyFont="1" applyBorder="1" applyAlignment="1">
      <alignment horizontal="left" vertical="center" wrapText="1"/>
    </xf>
    <xf numFmtId="3" fontId="17" fillId="0" borderId="0" xfId="0" applyNumberFormat="1" applyFont="1" applyAlignment="1">
      <alignment vertical="center"/>
    </xf>
    <xf numFmtId="3" fontId="13" fillId="0" borderId="0" xfId="0" applyNumberFormat="1" applyFont="1" applyBorder="1" applyAlignment="1">
      <alignment horizontal="center" vertical="center" wrapText="1"/>
    </xf>
    <xf numFmtId="3" fontId="13" fillId="0" borderId="0" xfId="0" applyNumberFormat="1" applyFont="1" applyFill="1" applyBorder="1" applyAlignment="1">
      <alignment horizontal="right" vertical="center"/>
    </xf>
    <xf numFmtId="0" fontId="24" fillId="0" borderId="1" xfId="0" applyFont="1" applyBorder="1" applyAlignment="1">
      <alignment horizontal="left" vertical="center" wrapText="1"/>
    </xf>
    <xf numFmtId="0" fontId="27" fillId="0" borderId="1" xfId="2" applyFont="1" applyBorder="1" applyAlignment="1">
      <alignment vertical="center"/>
    </xf>
    <xf numFmtId="3" fontId="14" fillId="0" borderId="1" xfId="2" applyNumberFormat="1" applyFont="1" applyFill="1" applyBorder="1" applyAlignment="1">
      <alignment vertical="center"/>
    </xf>
    <xf numFmtId="3" fontId="27" fillId="0" borderId="1" xfId="2" applyNumberFormat="1" applyFont="1" applyFill="1" applyBorder="1" applyAlignment="1">
      <alignment vertical="center"/>
    </xf>
    <xf numFmtId="3" fontId="14" fillId="0" borderId="1" xfId="2" applyNumberFormat="1" applyFont="1" applyBorder="1" applyAlignment="1">
      <alignment vertical="center"/>
    </xf>
    <xf numFmtId="0" fontId="27" fillId="0" borderId="0" xfId="2" applyFont="1" applyAlignment="1">
      <alignment vertical="center"/>
    </xf>
    <xf numFmtId="3" fontId="14" fillId="0" borderId="1" xfId="2" applyNumberFormat="1" applyFont="1" applyBorder="1"/>
    <xf numFmtId="0" fontId="27" fillId="0" borderId="0" xfId="2" applyFont="1"/>
    <xf numFmtId="0" fontId="27" fillId="0" borderId="0" xfId="2" applyFont="1" applyFill="1" applyAlignment="1">
      <alignment vertical="center"/>
    </xf>
    <xf numFmtId="0" fontId="24" fillId="0" borderId="0" xfId="2" applyFont="1" applyFill="1" applyAlignment="1">
      <alignment horizontal="right" vertical="center"/>
    </xf>
    <xf numFmtId="3" fontId="14" fillId="0" borderId="1" xfId="6" applyNumberFormat="1" applyFont="1" applyFill="1" applyBorder="1" applyAlignment="1">
      <alignment horizontal="center" vertical="center"/>
    </xf>
    <xf numFmtId="3" fontId="27" fillId="0" borderId="1" xfId="2" applyNumberFormat="1" applyFont="1" applyFill="1" applyBorder="1" applyAlignment="1">
      <alignment horizontal="right" vertical="center"/>
    </xf>
    <xf numFmtId="0" fontId="27" fillId="0" borderId="1" xfId="2" applyFont="1" applyBorder="1" applyAlignment="1">
      <alignment horizontal="left" vertical="center" wrapText="1"/>
    </xf>
    <xf numFmtId="3" fontId="27" fillId="0" borderId="0" xfId="2" applyNumberFormat="1" applyFont="1"/>
    <xf numFmtId="3" fontId="14" fillId="0" borderId="0" xfId="2" applyNumberFormat="1" applyFont="1" applyAlignment="1">
      <alignment horizontal="center"/>
    </xf>
    <xf numFmtId="3" fontId="27" fillId="0" borderId="0" xfId="2" applyNumberFormat="1" applyFont="1" applyFill="1"/>
    <xf numFmtId="3" fontId="14" fillId="0" borderId="1" xfId="7" applyNumberFormat="1" applyFont="1" applyFill="1" applyBorder="1" applyAlignment="1">
      <alignment horizontal="center" vertical="center"/>
    </xf>
    <xf numFmtId="3" fontId="27" fillId="0" borderId="1" xfId="2" applyNumberFormat="1" applyFont="1" applyBorder="1"/>
    <xf numFmtId="3" fontId="27" fillId="0" borderId="1" xfId="2" applyNumberFormat="1" applyFont="1" applyBorder="1" applyAlignment="1">
      <alignment wrapText="1"/>
    </xf>
    <xf numFmtId="0" fontId="37" fillId="0" borderId="0" xfId="7"/>
    <xf numFmtId="0" fontId="27" fillId="0" borderId="0" xfId="9" applyFont="1"/>
    <xf numFmtId="0" fontId="27" fillId="0" borderId="0" xfId="9" applyFont="1" applyAlignment="1">
      <alignment vertical="center" wrapText="1"/>
    </xf>
    <xf numFmtId="0" fontId="14" fillId="0" borderId="1" xfId="9" applyFont="1" applyBorder="1" applyAlignment="1">
      <alignment horizontal="center" vertical="center"/>
    </xf>
    <xf numFmtId="0" fontId="27" fillId="0" borderId="1" xfId="9" applyFont="1" applyBorder="1" applyAlignment="1">
      <alignment vertical="center" wrapText="1"/>
    </xf>
    <xf numFmtId="3" fontId="27" fillId="0" borderId="1" xfId="9" applyNumberFormat="1" applyFont="1" applyBorder="1" applyAlignment="1">
      <alignment vertical="center" wrapText="1"/>
    </xf>
    <xf numFmtId="0" fontId="27" fillId="0" borderId="0" xfId="9" applyFont="1" applyBorder="1"/>
    <xf numFmtId="3" fontId="27" fillId="0" borderId="0" xfId="9" applyNumberFormat="1" applyFont="1" applyBorder="1"/>
    <xf numFmtId="3" fontId="14" fillId="0" borderId="1" xfId="2" applyNumberFormat="1" applyFont="1" applyBorder="1" applyAlignment="1">
      <alignment horizontal="center"/>
    </xf>
    <xf numFmtId="3" fontId="27" fillId="0" borderId="0" xfId="11" applyNumberFormat="1" applyFont="1"/>
    <xf numFmtId="3" fontId="14" fillId="0" borderId="0" xfId="2" applyNumberFormat="1" applyFont="1"/>
    <xf numFmtId="3" fontId="27" fillId="0" borderId="0" xfId="2" applyNumberFormat="1" applyFont="1" applyBorder="1"/>
    <xf numFmtId="3" fontId="27" fillId="0" borderId="1" xfId="2" applyNumberFormat="1" applyFont="1" applyBorder="1" applyAlignment="1">
      <alignment vertical="center"/>
    </xf>
    <xf numFmtId="3" fontId="27" fillId="0" borderId="1" xfId="2" applyNumberFormat="1" applyFont="1" applyBorder="1" applyAlignment="1"/>
    <xf numFmtId="3" fontId="27" fillId="0" borderId="0" xfId="2" applyNumberFormat="1" applyFont="1" applyBorder="1" applyAlignment="1">
      <alignment wrapText="1"/>
    </xf>
    <xf numFmtId="3" fontId="14" fillId="0" borderId="1" xfId="11" applyNumberFormat="1" applyFont="1" applyBorder="1" applyAlignment="1">
      <alignment horizontal="center"/>
    </xf>
    <xf numFmtId="3" fontId="27" fillId="0" borderId="0" xfId="11" applyNumberFormat="1" applyFont="1" applyAlignment="1">
      <alignment wrapText="1"/>
    </xf>
    <xf numFmtId="3" fontId="27" fillId="0" borderId="0" xfId="11" applyNumberFormat="1" applyFont="1" applyFill="1"/>
    <xf numFmtId="3" fontId="27" fillId="0" borderId="0" xfId="11" applyNumberFormat="1" applyFont="1" applyAlignment="1">
      <alignment horizontal="left"/>
    </xf>
    <xf numFmtId="3" fontId="27" fillId="0" borderId="0" xfId="2" applyNumberFormat="1" applyFont="1" applyAlignment="1">
      <alignment wrapText="1"/>
    </xf>
    <xf numFmtId="3" fontId="27" fillId="0" borderId="0" xfId="2" applyNumberFormat="1" applyFont="1" applyAlignment="1">
      <alignment horizontal="left"/>
    </xf>
    <xf numFmtId="3" fontId="27" fillId="0" borderId="0" xfId="2" applyNumberFormat="1" applyFont="1" applyBorder="1" applyAlignment="1">
      <alignment horizontal="right"/>
    </xf>
    <xf numFmtId="3" fontId="27" fillId="0" borderId="1" xfId="11" applyNumberFormat="1" applyFont="1" applyBorder="1" applyAlignment="1">
      <alignment horizontal="center" vertical="center"/>
    </xf>
    <xf numFmtId="3" fontId="14" fillId="0" borderId="1" xfId="2" applyNumberFormat="1" applyFont="1" applyBorder="1" applyAlignment="1">
      <alignment horizontal="left" vertical="center" wrapText="1"/>
    </xf>
    <xf numFmtId="3" fontId="27" fillId="0" borderId="0" xfId="11" applyNumberFormat="1" applyFont="1" applyAlignment="1">
      <alignment horizontal="left" vertical="center"/>
    </xf>
    <xf numFmtId="3" fontId="27" fillId="0" borderId="0" xfId="11" applyNumberFormat="1" applyFont="1" applyAlignment="1">
      <alignment horizontal="center" vertical="center"/>
    </xf>
    <xf numFmtId="3" fontId="27" fillId="0" borderId="0" xfId="11" applyNumberFormat="1" applyFont="1" applyFill="1" applyAlignment="1">
      <alignment horizontal="right"/>
    </xf>
    <xf numFmtId="3" fontId="27" fillId="0" borderId="0" xfId="11" applyNumberFormat="1" applyFont="1" applyAlignment="1">
      <alignment horizontal="right"/>
    </xf>
    <xf numFmtId="3" fontId="14" fillId="0" borderId="0" xfId="1" applyNumberFormat="1" applyFont="1" applyBorder="1" applyAlignment="1">
      <alignment horizontal="left" vertical="center"/>
    </xf>
    <xf numFmtId="3" fontId="27" fillId="0" borderId="0" xfId="0" applyNumberFormat="1" applyFont="1"/>
    <xf numFmtId="3" fontId="27" fillId="0" borderId="0" xfId="1" applyNumberFormat="1" applyFont="1" applyBorder="1" applyAlignment="1">
      <alignment horizontal="center" vertical="center"/>
    </xf>
    <xf numFmtId="3" fontId="14" fillId="0" borderId="0" xfId="1" applyNumberFormat="1" applyFont="1" applyBorder="1" applyAlignment="1">
      <alignment horizontal="center" vertical="center"/>
    </xf>
    <xf numFmtId="3" fontId="27" fillId="0" borderId="0" xfId="0" applyNumberFormat="1" applyFont="1" applyAlignment="1">
      <alignment horizontal="right"/>
    </xf>
    <xf numFmtId="3" fontId="27" fillId="0" borderId="0" xfId="0" applyNumberFormat="1" applyFont="1" applyBorder="1"/>
    <xf numFmtId="3" fontId="28" fillId="0" borderId="1" xfId="0" applyNumberFormat="1" applyFont="1" applyBorder="1" applyAlignment="1">
      <alignment horizontal="center"/>
    </xf>
    <xf numFmtId="3" fontId="14" fillId="0" borderId="1" xfId="0" applyNumberFormat="1" applyFont="1" applyBorder="1" applyAlignment="1">
      <alignment horizontal="left" wrapText="1"/>
    </xf>
    <xf numFmtId="3" fontId="14" fillId="0" borderId="1" xfId="0" applyNumberFormat="1" applyFont="1" applyBorder="1"/>
    <xf numFmtId="3" fontId="14" fillId="0" borderId="1" xfId="0" applyNumberFormat="1" applyFont="1" applyBorder="1" applyAlignment="1">
      <alignment wrapText="1"/>
    </xf>
    <xf numFmtId="3" fontId="14" fillId="0" borderId="1" xfId="2" applyNumberFormat="1" applyFont="1" applyBorder="1" applyAlignment="1">
      <alignment horizontal="left" wrapText="1"/>
    </xf>
    <xf numFmtId="3" fontId="27" fillId="0" borderId="1" xfId="0" applyNumberFormat="1" applyFont="1" applyBorder="1"/>
    <xf numFmtId="3" fontId="27" fillId="0" borderId="0" xfId="0" applyNumberFormat="1" applyFont="1" applyBorder="1" applyAlignment="1">
      <alignment vertical="center"/>
    </xf>
    <xf numFmtId="3" fontId="41" fillId="0" borderId="0" xfId="0" applyNumberFormat="1" applyFont="1" applyBorder="1"/>
    <xf numFmtId="3" fontId="14" fillId="0" borderId="0" xfId="0" applyNumberFormat="1" applyFont="1" applyBorder="1" applyAlignment="1">
      <alignment horizontal="center"/>
    </xf>
    <xf numFmtId="3" fontId="14" fillId="0" borderId="0" xfId="0" applyNumberFormat="1" applyFont="1" applyBorder="1"/>
    <xf numFmtId="3" fontId="14" fillId="3" borderId="0" xfId="0" applyNumberFormat="1" applyFont="1" applyFill="1" applyBorder="1"/>
    <xf numFmtId="3" fontId="14" fillId="0" borderId="4" xfId="0" applyNumberFormat="1" applyFont="1" applyBorder="1" applyAlignment="1">
      <alignment horizontal="center"/>
    </xf>
    <xf numFmtId="3" fontId="14" fillId="0" borderId="0" xfId="0" applyNumberFormat="1" applyFont="1"/>
    <xf numFmtId="0" fontId="36" fillId="0" borderId="0" xfId="2" applyFont="1" applyAlignment="1">
      <alignment horizontal="right"/>
    </xf>
    <xf numFmtId="0" fontId="36" fillId="0" borderId="0" xfId="2" applyFont="1" applyAlignment="1">
      <alignment horizontal="left"/>
    </xf>
    <xf numFmtId="0" fontId="42" fillId="0" borderId="0" xfId="2" applyFont="1"/>
    <xf numFmtId="0" fontId="36" fillId="0" borderId="0" xfId="2" applyFont="1" applyAlignment="1">
      <alignment horizontal="center"/>
    </xf>
    <xf numFmtId="0" fontId="42" fillId="0" borderId="0" xfId="2" applyFont="1" applyFill="1"/>
    <xf numFmtId="0" fontId="42" fillId="0" borderId="0" xfId="2" applyFont="1" applyAlignment="1">
      <alignment horizontal="center"/>
    </xf>
    <xf numFmtId="0" fontId="36" fillId="0" borderId="1" xfId="2" applyFont="1" applyBorder="1" applyAlignment="1">
      <alignment horizontal="center"/>
    </xf>
    <xf numFmtId="0" fontId="36" fillId="0" borderId="1" xfId="2" applyFont="1" applyFill="1" applyBorder="1" applyAlignment="1">
      <alignment horizontal="center"/>
    </xf>
    <xf numFmtId="0" fontId="27" fillId="0" borderId="1" xfId="7" applyFont="1" applyBorder="1" applyAlignment="1">
      <alignment horizontal="left" vertical="center"/>
    </xf>
    <xf numFmtId="3" fontId="27" fillId="0" borderId="0" xfId="11" applyNumberFormat="1" applyFont="1" applyBorder="1"/>
    <xf numFmtId="3" fontId="27" fillId="0" borderId="0" xfId="11" applyNumberFormat="1" applyFont="1" applyBorder="1" applyAlignment="1">
      <alignment horizontal="right"/>
    </xf>
    <xf numFmtId="3" fontId="27" fillId="0" borderId="1" xfId="11" applyNumberFormat="1" applyFont="1" applyBorder="1"/>
    <xf numFmtId="3" fontId="27" fillId="0" borderId="1" xfId="11" applyNumberFormat="1" applyFont="1" applyFill="1" applyBorder="1"/>
    <xf numFmtId="3" fontId="14" fillId="0" borderId="1" xfId="11" applyNumberFormat="1" applyFont="1" applyBorder="1"/>
    <xf numFmtId="3" fontId="27" fillId="0" borderId="0" xfId="2" applyNumberFormat="1" applyFont="1" applyAlignment="1">
      <alignment horizontal="right"/>
    </xf>
    <xf numFmtId="3" fontId="14" fillId="0" borderId="1" xfId="7" applyNumberFormat="1" applyFont="1" applyBorder="1" applyAlignment="1">
      <alignment horizontal="left" wrapText="1"/>
    </xf>
    <xf numFmtId="3" fontId="14" fillId="0" borderId="1" xfId="7" applyNumberFormat="1" applyFont="1" applyBorder="1" applyAlignment="1">
      <alignment wrapText="1"/>
    </xf>
    <xf numFmtId="3" fontId="13" fillId="2" borderId="1" xfId="0" applyNumberFormat="1" applyFont="1" applyFill="1" applyBorder="1" applyAlignment="1">
      <alignment horizontal="right" vertical="center" wrapText="1"/>
    </xf>
    <xf numFmtId="0" fontId="27" fillId="0" borderId="1" xfId="0" applyFont="1" applyBorder="1" applyAlignment="1">
      <alignment vertical="center" wrapText="1"/>
    </xf>
    <xf numFmtId="0" fontId="27" fillId="0" borderId="1" xfId="0" applyFont="1" applyBorder="1" applyAlignment="1">
      <alignment horizontal="left" vertical="center" wrapText="1"/>
    </xf>
    <xf numFmtId="3" fontId="14" fillId="0" borderId="1" xfId="2" applyNumberFormat="1" applyFont="1" applyBorder="1" applyAlignment="1">
      <alignment horizontal="center" wrapText="1"/>
    </xf>
    <xf numFmtId="3" fontId="27" fillId="0" borderId="1" xfId="2" applyNumberFormat="1" applyFont="1" applyBorder="1" applyAlignment="1">
      <alignment vertical="center" wrapText="1"/>
    </xf>
    <xf numFmtId="3" fontId="14" fillId="0" borderId="1" xfId="2" applyNumberFormat="1" applyFont="1" applyBorder="1" applyAlignment="1">
      <alignment wrapText="1"/>
    </xf>
    <xf numFmtId="0" fontId="27" fillId="0" borderId="1" xfId="0" applyFont="1" applyFill="1" applyBorder="1" applyAlignment="1">
      <alignment vertical="center" wrapText="1"/>
    </xf>
    <xf numFmtId="3" fontId="27" fillId="0" borderId="1" xfId="0" applyNumberFormat="1" applyFont="1" applyFill="1" applyBorder="1" applyAlignment="1">
      <alignment horizontal="left" vertical="center" wrapText="1"/>
    </xf>
    <xf numFmtId="3" fontId="27" fillId="0" borderId="1" xfId="0" applyNumberFormat="1" applyFont="1" applyFill="1" applyBorder="1" applyAlignment="1">
      <alignment vertical="center" wrapText="1"/>
    </xf>
    <xf numFmtId="3" fontId="27" fillId="0" borderId="0" xfId="2" applyNumberFormat="1" applyFont="1" applyFill="1" applyAlignment="1">
      <alignment vertical="center"/>
    </xf>
    <xf numFmtId="3" fontId="27" fillId="0" borderId="0" xfId="2" applyNumberFormat="1" applyFont="1" applyFill="1" applyAlignment="1">
      <alignment horizontal="left" vertical="center"/>
    </xf>
    <xf numFmtId="0" fontId="27" fillId="0" borderId="0" xfId="2" applyFont="1" applyFill="1" applyAlignment="1">
      <alignment horizontal="left" vertical="center"/>
    </xf>
    <xf numFmtId="0" fontId="29" fillId="0" borderId="0" xfId="2" applyFont="1" applyFill="1" applyAlignment="1">
      <alignment horizontal="left" vertical="center"/>
    </xf>
    <xf numFmtId="0" fontId="27" fillId="0" borderId="1" xfId="2" applyFont="1" applyFill="1" applyBorder="1" applyAlignment="1">
      <alignment horizontal="left" vertical="center" wrapText="1"/>
    </xf>
    <xf numFmtId="0" fontId="14" fillId="0" borderId="0" xfId="2" applyFont="1" applyFill="1" applyAlignment="1">
      <alignment vertical="center"/>
    </xf>
    <xf numFmtId="3" fontId="13" fillId="0" borderId="1" xfId="6" applyNumberFormat="1" applyFont="1" applyFill="1" applyBorder="1" applyAlignment="1">
      <alignment horizontal="center" vertical="center"/>
    </xf>
    <xf numFmtId="0" fontId="27" fillId="0" borderId="0" xfId="2" applyFont="1" applyFill="1" applyAlignment="1">
      <alignment horizontal="left" vertical="center" wrapText="1"/>
    </xf>
    <xf numFmtId="3" fontId="27" fillId="0" borderId="0" xfId="12" applyNumberFormat="1" applyFont="1" applyAlignment="1">
      <alignment wrapText="1"/>
    </xf>
    <xf numFmtId="3" fontId="27" fillId="0" borderId="0" xfId="12" applyNumberFormat="1" applyFont="1"/>
    <xf numFmtId="3" fontId="14" fillId="0" borderId="0" xfId="12" applyNumberFormat="1" applyFont="1"/>
    <xf numFmtId="3" fontId="14" fillId="0" borderId="0" xfId="12" applyNumberFormat="1" applyFont="1" applyBorder="1" applyAlignment="1">
      <alignment horizontal="center" vertical="center" wrapText="1"/>
    </xf>
    <xf numFmtId="3" fontId="14" fillId="0" borderId="0" xfId="12" applyNumberFormat="1" applyFont="1" applyBorder="1" applyAlignment="1">
      <alignment horizontal="center" vertical="center"/>
    </xf>
    <xf numFmtId="3" fontId="27" fillId="0" borderId="0" xfId="12" applyNumberFormat="1" applyFont="1" applyAlignment="1">
      <alignment horizontal="center" vertical="center"/>
    </xf>
    <xf numFmtId="3" fontId="14" fillId="0" borderId="0" xfId="12" applyNumberFormat="1" applyFont="1" applyAlignment="1">
      <alignment horizontal="center" vertical="center"/>
    </xf>
    <xf numFmtId="3" fontId="14" fillId="0" borderId="1" xfId="12" applyNumberFormat="1" applyFont="1" applyBorder="1" applyAlignment="1">
      <alignment horizontal="center" vertical="center" wrapText="1"/>
    </xf>
    <xf numFmtId="3" fontId="14" fillId="8" borderId="1" xfId="12" applyNumberFormat="1" applyFont="1" applyFill="1" applyBorder="1" applyAlignment="1">
      <alignment horizontal="center" vertical="center" wrapText="1"/>
    </xf>
    <xf numFmtId="3" fontId="14" fillId="0" borderId="1" xfId="12" applyNumberFormat="1" applyFont="1" applyBorder="1" applyAlignment="1">
      <alignment horizontal="center" vertical="center"/>
    </xf>
    <xf numFmtId="3" fontId="27" fillId="2" borderId="1" xfId="12" applyNumberFormat="1" applyFont="1" applyFill="1" applyBorder="1" applyAlignment="1">
      <alignment vertical="center"/>
    </xf>
    <xf numFmtId="3" fontId="29" fillId="2" borderId="1" xfId="12" applyNumberFormat="1" applyFont="1" applyFill="1" applyBorder="1" applyAlignment="1">
      <alignment vertical="center"/>
    </xf>
    <xf numFmtId="3" fontId="14" fillId="8" borderId="1" xfId="12" applyNumberFormat="1" applyFont="1" applyFill="1" applyBorder="1" applyAlignment="1">
      <alignment vertical="center"/>
    </xf>
    <xf numFmtId="3" fontId="27" fillId="9" borderId="0" xfId="12" applyNumberFormat="1" applyFont="1" applyFill="1" applyAlignment="1">
      <alignment vertical="center"/>
    </xf>
    <xf numFmtId="3" fontId="27" fillId="2" borderId="0" xfId="12" applyNumberFormat="1" applyFont="1" applyFill="1" applyAlignment="1">
      <alignment vertical="center"/>
    </xf>
    <xf numFmtId="3" fontId="27" fillId="0" borderId="1" xfId="12" applyNumberFormat="1" applyFont="1" applyBorder="1" applyAlignment="1">
      <alignment horizontal="left" vertical="center" wrapText="1"/>
    </xf>
    <xf numFmtId="3" fontId="27" fillId="8" borderId="1" xfId="12" applyNumberFormat="1" applyFont="1" applyFill="1" applyBorder="1" applyAlignment="1">
      <alignment vertical="center"/>
    </xf>
    <xf numFmtId="3" fontId="27" fillId="0" borderId="0" xfId="12" applyNumberFormat="1" applyFont="1" applyAlignment="1">
      <alignment vertical="center"/>
    </xf>
    <xf numFmtId="3" fontId="27" fillId="2" borderId="1" xfId="12" applyNumberFormat="1" applyFont="1" applyFill="1" applyBorder="1" applyAlignment="1">
      <alignment horizontal="right" vertical="center"/>
    </xf>
    <xf numFmtId="3" fontId="27" fillId="9" borderId="0" xfId="12" applyNumberFormat="1" applyFont="1" applyFill="1" applyAlignment="1">
      <alignment horizontal="right" vertical="center"/>
    </xf>
    <xf numFmtId="3" fontId="35" fillId="0" borderId="1" xfId="12" applyNumberFormat="1" applyFont="1" applyFill="1" applyBorder="1" applyAlignment="1">
      <alignment horizontal="center" vertical="center" wrapText="1"/>
    </xf>
    <xf numFmtId="3" fontId="29" fillId="0" borderId="1" xfId="12" applyNumberFormat="1" applyFont="1" applyFill="1" applyBorder="1" applyAlignment="1">
      <alignment vertical="center"/>
    </xf>
    <xf numFmtId="3" fontId="27" fillId="0" borderId="1" xfId="12" applyNumberFormat="1" applyFont="1" applyFill="1" applyBorder="1" applyAlignment="1">
      <alignment vertical="center"/>
    </xf>
    <xf numFmtId="3" fontId="27" fillId="0" borderId="1" xfId="12" applyNumberFormat="1" applyFont="1" applyBorder="1" applyAlignment="1">
      <alignment vertical="center"/>
    </xf>
    <xf numFmtId="3" fontId="14" fillId="3" borderId="1" xfId="12" applyNumberFormat="1" applyFont="1" applyFill="1" applyBorder="1" applyAlignment="1">
      <alignment vertical="center" wrapText="1"/>
    </xf>
    <xf numFmtId="3" fontId="14" fillId="3" borderId="1" xfId="12" applyNumberFormat="1" applyFont="1" applyFill="1" applyBorder="1" applyAlignment="1">
      <alignment vertical="center"/>
    </xf>
    <xf numFmtId="3" fontId="27" fillId="3" borderId="0" xfId="12" applyNumberFormat="1" applyFont="1" applyFill="1" applyAlignment="1">
      <alignment vertical="center"/>
    </xf>
    <xf numFmtId="3" fontId="14" fillId="0" borderId="0" xfId="12" applyNumberFormat="1" applyFont="1" applyBorder="1" applyAlignment="1">
      <alignment wrapText="1"/>
    </xf>
    <xf numFmtId="3" fontId="27" fillId="0" borderId="0" xfId="12" applyNumberFormat="1" applyFont="1" applyBorder="1"/>
    <xf numFmtId="3" fontId="29" fillId="0" borderId="0" xfId="12" applyNumberFormat="1" applyFont="1" applyAlignment="1">
      <alignment wrapText="1"/>
    </xf>
    <xf numFmtId="3" fontId="17" fillId="0" borderId="1" xfId="12" applyNumberFormat="1" applyFont="1" applyBorder="1" applyAlignment="1">
      <alignment horizontal="center" vertical="center" wrapText="1"/>
    </xf>
    <xf numFmtId="3" fontId="27" fillId="0" borderId="0" xfId="12" applyNumberFormat="1" applyFont="1" applyFill="1" applyAlignment="1">
      <alignment horizontal="right" vertical="center"/>
    </xf>
    <xf numFmtId="3" fontId="27" fillId="0" borderId="0" xfId="12" applyNumberFormat="1" applyFont="1" applyFill="1" applyAlignment="1">
      <alignment vertical="center"/>
    </xf>
    <xf numFmtId="3" fontId="23" fillId="0" borderId="1" xfId="2" applyNumberFormat="1" applyFont="1" applyBorder="1" applyAlignment="1">
      <alignment horizontal="left" vertical="center" wrapText="1"/>
    </xf>
    <xf numFmtId="0" fontId="14" fillId="0" borderId="0" xfId="2" applyFont="1" applyFill="1" applyAlignment="1">
      <alignment horizontal="right"/>
    </xf>
    <xf numFmtId="3" fontId="14" fillId="0" borderId="0" xfId="11" applyNumberFormat="1" applyFont="1" applyAlignment="1">
      <alignment horizontal="right"/>
    </xf>
    <xf numFmtId="0" fontId="27" fillId="0" borderId="1" xfId="0" applyFont="1" applyBorder="1"/>
    <xf numFmtId="3" fontId="18" fillId="0" borderId="1" xfId="0" applyNumberFormat="1" applyFont="1" applyBorder="1" applyAlignment="1">
      <alignment horizontal="center" vertical="center" wrapText="1"/>
    </xf>
    <xf numFmtId="3" fontId="27" fillId="0" borderId="0" xfId="0" applyNumberFormat="1" applyFont="1" applyAlignment="1">
      <alignment wrapText="1"/>
    </xf>
    <xf numFmtId="3" fontId="14" fillId="0" borderId="1" xfId="0" applyNumberFormat="1" applyFont="1" applyBorder="1" applyAlignment="1">
      <alignment horizontal="center" wrapText="1"/>
    </xf>
    <xf numFmtId="3" fontId="28" fillId="0" borderId="1" xfId="0" applyNumberFormat="1" applyFont="1" applyBorder="1" applyAlignment="1">
      <alignment horizontal="center" wrapText="1"/>
    </xf>
    <xf numFmtId="3" fontId="27" fillId="0" borderId="1" xfId="0" applyNumberFormat="1" applyFont="1" applyBorder="1" applyAlignment="1">
      <alignment wrapText="1"/>
    </xf>
    <xf numFmtId="3" fontId="27" fillId="0" borderId="0" xfId="0" applyNumberFormat="1" applyFont="1" applyBorder="1" applyAlignment="1">
      <alignment wrapText="1"/>
    </xf>
    <xf numFmtId="0" fontId="27" fillId="0" borderId="0" xfId="0" applyFont="1" applyAlignment="1">
      <alignment wrapText="1"/>
    </xf>
    <xf numFmtId="3" fontId="14" fillId="0" borderId="0" xfId="0" applyNumberFormat="1" applyFont="1" applyBorder="1" applyAlignment="1">
      <alignment wrapText="1"/>
    </xf>
    <xf numFmtId="3" fontId="23" fillId="0" borderId="1" xfId="0" applyNumberFormat="1" applyFont="1" applyFill="1" applyBorder="1" applyAlignment="1">
      <alignment horizontal="right" vertical="center"/>
    </xf>
    <xf numFmtId="3" fontId="19" fillId="0" borderId="0" xfId="1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3" fontId="20" fillId="0" borderId="1" xfId="0" applyNumberFormat="1" applyFont="1" applyFill="1" applyBorder="1" applyAlignment="1">
      <alignment vertical="center" wrapText="1"/>
    </xf>
    <xf numFmtId="3" fontId="13" fillId="0" borderId="0" xfId="0" applyNumberFormat="1" applyFont="1" applyFill="1" applyBorder="1" applyAlignment="1">
      <alignment vertical="center"/>
    </xf>
    <xf numFmtId="3" fontId="17" fillId="0" borderId="0" xfId="1" applyNumberFormat="1" applyFont="1" applyBorder="1" applyAlignment="1">
      <alignment horizontal="left" vertical="center" wrapText="1"/>
    </xf>
    <xf numFmtId="0" fontId="27" fillId="0" borderId="1" xfId="2" applyFont="1" applyFill="1" applyBorder="1" applyAlignment="1">
      <alignment vertical="center"/>
    </xf>
    <xf numFmtId="0" fontId="42" fillId="0" borderId="0" xfId="2" applyFont="1" applyAlignment="1">
      <alignment vertical="center"/>
    </xf>
    <xf numFmtId="4" fontId="36" fillId="0" borderId="1" xfId="2" applyNumberFormat="1" applyFont="1" applyBorder="1" applyAlignment="1">
      <alignment vertical="center"/>
    </xf>
    <xf numFmtId="4" fontId="36" fillId="0" borderId="1" xfId="2" applyNumberFormat="1" applyFont="1" applyBorder="1" applyAlignment="1">
      <alignment horizontal="right" vertical="center"/>
    </xf>
    <xf numFmtId="4" fontId="42" fillId="0" borderId="0" xfId="2" applyNumberFormat="1" applyFont="1" applyAlignment="1">
      <alignment vertical="center"/>
    </xf>
    <xf numFmtId="0" fontId="27" fillId="0" borderId="1" xfId="2" applyFont="1" applyFill="1" applyBorder="1" applyAlignment="1">
      <alignment vertical="center" wrapText="1"/>
    </xf>
    <xf numFmtId="0" fontId="27" fillId="0" borderId="0" xfId="0" applyFont="1" applyAlignment="1">
      <alignment vertical="center" wrapText="1"/>
    </xf>
    <xf numFmtId="0" fontId="14" fillId="0" borderId="1" xfId="2" applyFont="1" applyFill="1" applyBorder="1" applyAlignment="1">
      <alignment vertical="center" wrapText="1"/>
    </xf>
    <xf numFmtId="0" fontId="14" fillId="0" borderId="1" xfId="2" applyFont="1" applyBorder="1" applyAlignment="1">
      <alignment vertical="center"/>
    </xf>
    <xf numFmtId="0" fontId="36" fillId="0" borderId="0" xfId="2" applyFont="1" applyAlignment="1">
      <alignment vertical="center"/>
    </xf>
    <xf numFmtId="0" fontId="36" fillId="0" borderId="1" xfId="2" applyFont="1" applyBorder="1" applyAlignment="1">
      <alignment vertical="center"/>
    </xf>
    <xf numFmtId="3" fontId="14" fillId="0" borderId="0" xfId="2" applyNumberFormat="1" applyFont="1" applyBorder="1" applyAlignment="1">
      <alignment horizontal="left" vertical="center"/>
    </xf>
    <xf numFmtId="3" fontId="27" fillId="0" borderId="0" xfId="2" applyNumberFormat="1" applyFont="1" applyAlignment="1">
      <alignment horizontal="center" vertical="center"/>
    </xf>
    <xf numFmtId="3" fontId="16" fillId="0" borderId="0" xfId="2" applyNumberFormat="1" applyFont="1" applyAlignment="1">
      <alignment horizontal="center"/>
    </xf>
    <xf numFmtId="0" fontId="27" fillId="0" borderId="0" xfId="2" applyFont="1" applyFill="1" applyBorder="1" applyAlignment="1">
      <alignment vertical="center"/>
    </xf>
    <xf numFmtId="0" fontId="14" fillId="0" borderId="0" xfId="2" applyFont="1" applyFill="1" applyBorder="1" applyAlignment="1">
      <alignment vertical="center"/>
    </xf>
    <xf numFmtId="0" fontId="40" fillId="0" borderId="0" xfId="0" applyFont="1" applyAlignment="1">
      <alignment vertical="center"/>
    </xf>
    <xf numFmtId="0" fontId="40" fillId="0" borderId="0" xfId="0" applyFont="1" applyFill="1" applyAlignment="1">
      <alignment vertical="center"/>
    </xf>
    <xf numFmtId="0" fontId="24" fillId="2" borderId="0" xfId="0" applyFont="1" applyFill="1" applyAlignment="1">
      <alignment vertical="center"/>
    </xf>
    <xf numFmtId="0" fontId="40" fillId="0" borderId="0" xfId="0" applyFont="1" applyAlignment="1">
      <alignment vertical="center" wrapText="1"/>
    </xf>
    <xf numFmtId="3" fontId="14" fillId="0" borderId="0" xfId="0" applyNumberFormat="1" applyFont="1" applyFill="1" applyBorder="1" applyAlignment="1">
      <alignment horizontal="center" vertical="center"/>
    </xf>
    <xf numFmtId="3" fontId="14" fillId="0" borderId="0" xfId="0" applyNumberFormat="1" applyFont="1" applyBorder="1" applyAlignment="1">
      <alignment vertical="center"/>
    </xf>
    <xf numFmtId="3" fontId="14" fillId="0" borderId="6" xfId="0" applyNumberFormat="1" applyFont="1" applyFill="1" applyBorder="1" applyAlignment="1">
      <alignment horizontal="center" vertical="center"/>
    </xf>
    <xf numFmtId="3" fontId="18" fillId="0" borderId="0" xfId="1" applyNumberFormat="1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3" fontId="14" fillId="0" borderId="1" xfId="2" applyNumberFormat="1" applyFont="1" applyBorder="1" applyAlignment="1">
      <alignment horizontal="right" vertical="center" wrapText="1"/>
    </xf>
    <xf numFmtId="1" fontId="14" fillId="0" borderId="1" xfId="2" applyNumberFormat="1" applyFont="1" applyBorder="1" applyAlignment="1">
      <alignment horizontal="center" vertical="center"/>
    </xf>
    <xf numFmtId="1" fontId="14" fillId="0" borderId="1" xfId="2" applyNumberFormat="1" applyFont="1" applyFill="1" applyBorder="1" applyAlignment="1">
      <alignment horizontal="center" vertical="center"/>
    </xf>
    <xf numFmtId="1" fontId="14" fillId="0" borderId="1" xfId="11" applyNumberFormat="1" applyFont="1" applyBorder="1" applyAlignment="1">
      <alignment horizontal="center" vertical="center"/>
    </xf>
    <xf numFmtId="3" fontId="27" fillId="0" borderId="1" xfId="2" applyNumberFormat="1" applyFont="1" applyBorder="1" applyAlignment="1">
      <alignment horizontal="center" vertical="center" wrapText="1"/>
    </xf>
    <xf numFmtId="3" fontId="27" fillId="0" borderId="2" xfId="2" applyNumberFormat="1" applyFont="1" applyBorder="1" applyAlignment="1">
      <alignment horizontal="left" vertical="center" wrapText="1"/>
    </xf>
    <xf numFmtId="3" fontId="27" fillId="0" borderId="1" xfId="2" applyNumberFormat="1" applyFont="1" applyBorder="1" applyAlignment="1">
      <alignment horizontal="right" vertical="center"/>
    </xf>
    <xf numFmtId="3" fontId="27" fillId="0" borderId="1" xfId="11" applyNumberFormat="1" applyFont="1" applyBorder="1" applyAlignment="1">
      <alignment horizontal="right" vertical="center"/>
    </xf>
    <xf numFmtId="3" fontId="27" fillId="0" borderId="0" xfId="2" applyNumberFormat="1" applyFont="1" applyBorder="1" applyAlignment="1">
      <alignment horizontal="left" vertical="center"/>
    </xf>
    <xf numFmtId="3" fontId="27" fillId="0" borderId="0" xfId="2" applyNumberFormat="1" applyFont="1" applyBorder="1" applyAlignment="1">
      <alignment horizontal="center" vertical="center"/>
    </xf>
    <xf numFmtId="3" fontId="27" fillId="0" borderId="1" xfId="11" applyNumberFormat="1" applyFont="1" applyFill="1" applyBorder="1" applyAlignment="1">
      <alignment horizontal="right" vertical="center"/>
    </xf>
    <xf numFmtId="3" fontId="27" fillId="0" borderId="2" xfId="3" applyNumberFormat="1" applyFont="1" applyFill="1" applyBorder="1" applyAlignment="1">
      <alignment horizontal="left" vertical="center" wrapText="1"/>
    </xf>
    <xf numFmtId="3" fontId="27" fillId="0" borderId="1" xfId="7" applyNumberFormat="1" applyFont="1" applyBorder="1" applyAlignment="1">
      <alignment horizontal="left" vertical="center" wrapText="1"/>
    </xf>
    <xf numFmtId="3" fontId="27" fillId="0" borderId="1" xfId="0" applyNumberFormat="1" applyFont="1" applyBorder="1" applyAlignment="1">
      <alignment horizontal="right" vertical="center" wrapText="1"/>
    </xf>
    <xf numFmtId="3" fontId="27" fillId="0" borderId="0" xfId="2" applyNumberFormat="1" applyFont="1" applyAlignment="1">
      <alignment vertical="center"/>
    </xf>
    <xf numFmtId="3" fontId="14" fillId="0" borderId="1" xfId="2" applyNumberFormat="1" applyFont="1" applyBorder="1" applyAlignment="1">
      <alignment horizontal="center" vertical="center"/>
    </xf>
    <xf numFmtId="3" fontId="27" fillId="0" borderId="1" xfId="2" applyNumberFormat="1" applyFont="1" applyBorder="1" applyAlignment="1">
      <alignment horizontal="center" vertical="center"/>
    </xf>
    <xf numFmtId="3" fontId="27" fillId="0" borderId="1" xfId="2" applyNumberFormat="1" applyFont="1" applyFill="1" applyBorder="1" applyAlignment="1">
      <alignment vertical="center" wrapText="1"/>
    </xf>
    <xf numFmtId="3" fontId="27" fillId="0" borderId="1" xfId="2" applyNumberFormat="1" applyFont="1" applyBorder="1" applyAlignment="1">
      <alignment horizontal="left" vertical="center"/>
    </xf>
    <xf numFmtId="0" fontId="13" fillId="0" borderId="0" xfId="2" applyFont="1" applyAlignment="1">
      <alignment vertical="center" wrapText="1"/>
    </xf>
    <xf numFmtId="0" fontId="24" fillId="0" borderId="1" xfId="2" applyFont="1" applyBorder="1" applyAlignment="1">
      <alignment horizontal="center" vertical="center"/>
    </xf>
    <xf numFmtId="0" fontId="24" fillId="0" borderId="1" xfId="2" applyFont="1" applyBorder="1" applyAlignment="1">
      <alignment vertical="center" wrapText="1"/>
    </xf>
    <xf numFmtId="9" fontId="28" fillId="0" borderId="1" xfId="2" applyNumberFormat="1" applyFont="1" applyBorder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3" fontId="27" fillId="0" borderId="1" xfId="0" applyNumberFormat="1" applyFont="1" applyBorder="1" applyAlignment="1">
      <alignment vertical="center"/>
    </xf>
    <xf numFmtId="0" fontId="13" fillId="0" borderId="0" xfId="21" applyFont="1" applyAlignment="1">
      <alignment vertical="center" wrapText="1"/>
    </xf>
    <xf numFmtId="3" fontId="13" fillId="0" borderId="0" xfId="21" applyNumberFormat="1" applyFont="1" applyAlignment="1">
      <alignment vertical="center" wrapText="1"/>
    </xf>
    <xf numFmtId="3" fontId="13" fillId="0" borderId="0" xfId="21" applyNumberFormat="1" applyFont="1" applyAlignment="1">
      <alignment horizontal="right" vertical="center" wrapText="1"/>
    </xf>
    <xf numFmtId="0" fontId="17" fillId="0" borderId="1" xfId="21" applyFont="1" applyBorder="1" applyAlignment="1">
      <alignment horizontal="center" vertical="center" wrapText="1"/>
    </xf>
    <xf numFmtId="0" fontId="13" fillId="0" borderId="1" xfId="21" applyFont="1" applyBorder="1" applyAlignment="1">
      <alignment horizontal="left" vertical="center" wrapText="1"/>
    </xf>
    <xf numFmtId="0" fontId="17" fillId="11" borderId="1" xfId="21" applyFont="1" applyFill="1" applyBorder="1" applyAlignment="1">
      <alignment horizontal="right" vertical="center" wrapText="1"/>
    </xf>
    <xf numFmtId="3" fontId="27" fillId="5" borderId="1" xfId="0" applyNumberFormat="1" applyFont="1" applyFill="1" applyBorder="1"/>
    <xf numFmtId="0" fontId="17" fillId="10" borderId="1" xfId="21" applyFont="1" applyFill="1" applyBorder="1" applyAlignment="1">
      <alignment horizontal="center" vertical="center" wrapText="1"/>
    </xf>
    <xf numFmtId="0" fontId="13" fillId="0" borderId="1" xfId="21" applyFont="1" applyFill="1" applyBorder="1" applyAlignment="1">
      <alignment vertical="center" wrapText="1"/>
    </xf>
    <xf numFmtId="3" fontId="27" fillId="0" borderId="1" xfId="0" applyNumberFormat="1" applyFont="1" applyFill="1" applyBorder="1"/>
    <xf numFmtId="3" fontId="14" fillId="5" borderId="1" xfId="0" applyNumberFormat="1" applyFont="1" applyFill="1" applyBorder="1"/>
    <xf numFmtId="0" fontId="17" fillId="0" borderId="1" xfId="21" applyFont="1" applyFill="1" applyBorder="1" applyAlignment="1">
      <alignment horizontal="center" vertical="center" wrapText="1"/>
    </xf>
    <xf numFmtId="0" fontId="13" fillId="0" borderId="1" xfId="21" applyFont="1" applyFill="1" applyBorder="1" applyAlignment="1">
      <alignment horizontal="left" vertical="center" wrapText="1"/>
    </xf>
    <xf numFmtId="0" fontId="0" fillId="0" borderId="0" xfId="0" applyFill="1"/>
    <xf numFmtId="3" fontId="27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 wrapText="1"/>
    </xf>
    <xf numFmtId="3" fontId="27" fillId="0" borderId="1" xfId="21" applyNumberFormat="1" applyFont="1" applyFill="1" applyBorder="1" applyAlignment="1">
      <alignment vertical="center" wrapText="1"/>
    </xf>
    <xf numFmtId="0" fontId="17" fillId="5" borderId="1" xfId="21" applyFont="1" applyFill="1" applyBorder="1" applyAlignment="1">
      <alignment horizontal="right" vertical="center" wrapText="1"/>
    </xf>
    <xf numFmtId="3" fontId="0" fillId="0" borderId="0" xfId="0" applyNumberFormat="1"/>
    <xf numFmtId="3" fontId="24" fillId="0" borderId="0" xfId="2" applyNumberFormat="1" applyFont="1" applyFill="1" applyBorder="1" applyAlignment="1">
      <alignment horizontal="right" vertical="center"/>
    </xf>
    <xf numFmtId="0" fontId="46" fillId="0" borderId="0" xfId="2" applyFont="1" applyFill="1" applyAlignment="1">
      <alignment horizontal="center" vertical="center"/>
    </xf>
    <xf numFmtId="0" fontId="27" fillId="0" borderId="1" xfId="0" applyFont="1" applyBorder="1" applyAlignment="1">
      <alignment wrapText="1"/>
    </xf>
    <xf numFmtId="0" fontId="14" fillId="0" borderId="0" xfId="0" applyFont="1"/>
    <xf numFmtId="0" fontId="47" fillId="0" borderId="0" xfId="0" applyFont="1"/>
    <xf numFmtId="165" fontId="27" fillId="0" borderId="1" xfId="2" applyNumberFormat="1" applyFont="1" applyBorder="1" applyAlignment="1">
      <alignment vertical="center"/>
    </xf>
    <xf numFmtId="165" fontId="27" fillId="0" borderId="1" xfId="2" applyNumberFormat="1" applyFont="1" applyFill="1" applyBorder="1" applyAlignment="1">
      <alignment vertical="center"/>
    </xf>
    <xf numFmtId="3" fontId="14" fillId="0" borderId="1" xfId="0" applyNumberFormat="1" applyFont="1" applyFill="1" applyBorder="1" applyAlignment="1">
      <alignment horizontal="center" vertical="center"/>
    </xf>
    <xf numFmtId="3" fontId="27" fillId="0" borderId="1" xfId="0" applyNumberFormat="1" applyFont="1" applyFill="1" applyBorder="1" applyAlignment="1">
      <alignment horizontal="right" vertical="center" wrapText="1"/>
    </xf>
    <xf numFmtId="3" fontId="27" fillId="0" borderId="0" xfId="11" applyNumberFormat="1" applyFont="1" applyFill="1" applyAlignment="1">
      <alignment horizontal="left" vertical="center"/>
    </xf>
    <xf numFmtId="3" fontId="27" fillId="0" borderId="0" xfId="11" applyNumberFormat="1" applyFont="1" applyFill="1" applyAlignment="1">
      <alignment horizontal="center" vertical="center"/>
    </xf>
    <xf numFmtId="3" fontId="14" fillId="0" borderId="0" xfId="12" applyNumberFormat="1" applyFont="1" applyAlignment="1">
      <alignment horizontal="center"/>
    </xf>
    <xf numFmtId="3" fontId="14" fillId="2" borderId="1" xfId="12" applyNumberFormat="1" applyFont="1" applyFill="1" applyBorder="1" applyAlignment="1">
      <alignment horizontal="center" vertical="center" wrapText="1"/>
    </xf>
    <xf numFmtId="3" fontId="14" fillId="3" borderId="1" xfId="12" applyNumberFormat="1" applyFont="1" applyFill="1" applyBorder="1" applyAlignment="1">
      <alignment horizontal="center" vertical="center" wrapText="1"/>
    </xf>
    <xf numFmtId="3" fontId="35" fillId="0" borderId="0" xfId="12" applyNumberFormat="1" applyFont="1" applyFill="1" applyAlignment="1">
      <alignment horizontal="right" vertical="center" wrapText="1"/>
    </xf>
    <xf numFmtId="3" fontId="35" fillId="0" borderId="1" xfId="12" applyNumberFormat="1" applyFont="1" applyFill="1" applyBorder="1" applyAlignment="1">
      <alignment horizontal="right" vertical="center" wrapText="1"/>
    </xf>
    <xf numFmtId="3" fontId="27" fillId="0" borderId="1" xfId="12" applyNumberFormat="1" applyFont="1" applyFill="1" applyBorder="1" applyAlignment="1">
      <alignment horizontal="left" vertical="center" wrapText="1"/>
    </xf>
    <xf numFmtId="3" fontId="27" fillId="0" borderId="1" xfId="12" applyNumberFormat="1" applyFont="1" applyFill="1" applyBorder="1" applyAlignment="1">
      <alignment vertical="center" wrapText="1"/>
    </xf>
    <xf numFmtId="3" fontId="14" fillId="2" borderId="1" xfId="12" applyNumberFormat="1" applyFont="1" applyFill="1" applyBorder="1" applyAlignment="1">
      <alignment vertical="center"/>
    </xf>
    <xf numFmtId="3" fontId="27" fillId="3" borderId="1" xfId="12" applyNumberFormat="1" applyFont="1" applyFill="1" applyBorder="1" applyAlignment="1">
      <alignment vertical="center"/>
    </xf>
    <xf numFmtId="3" fontId="29" fillId="0" borderId="1" xfId="12" applyNumberFormat="1" applyFont="1" applyBorder="1" applyAlignment="1">
      <alignment vertical="center"/>
    </xf>
    <xf numFmtId="3" fontId="14" fillId="0" borderId="1" xfId="12" applyNumberFormat="1" applyFont="1" applyFill="1" applyBorder="1" applyAlignment="1">
      <alignment vertical="center"/>
    </xf>
    <xf numFmtId="3" fontId="28" fillId="2" borderId="1" xfId="12" applyNumberFormat="1" applyFont="1" applyFill="1" applyBorder="1" applyAlignment="1">
      <alignment vertical="center"/>
    </xf>
    <xf numFmtId="3" fontId="27" fillId="0" borderId="1" xfId="12" applyNumberFormat="1" applyFont="1" applyFill="1" applyBorder="1" applyAlignment="1">
      <alignment horizontal="right" vertical="center"/>
    </xf>
    <xf numFmtId="3" fontId="27" fillId="0" borderId="0" xfId="12" applyNumberFormat="1" applyFont="1" applyAlignment="1">
      <alignment horizontal="right" vertical="center"/>
    </xf>
    <xf numFmtId="3" fontId="27" fillId="0" borderId="0" xfId="12" applyNumberFormat="1" applyFont="1" applyFill="1"/>
    <xf numFmtId="3" fontId="27" fillId="0" borderId="0" xfId="12" applyNumberFormat="1" applyFont="1" applyFill="1" applyAlignment="1">
      <alignment horizontal="center" vertical="center"/>
    </xf>
    <xf numFmtId="3" fontId="14" fillId="0" borderId="0" xfId="12" applyNumberFormat="1" applyFont="1" applyFill="1" applyBorder="1" applyAlignment="1">
      <alignment horizontal="center"/>
    </xf>
    <xf numFmtId="3" fontId="14" fillId="0" borderId="0" xfId="12" applyNumberFormat="1" applyFont="1" applyFill="1" applyBorder="1" applyAlignment="1">
      <alignment horizontal="center" vertical="center"/>
    </xf>
    <xf numFmtId="3" fontId="27" fillId="0" borderId="0" xfId="12" applyNumberFormat="1" applyFont="1" applyFill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0" xfId="9" applyFont="1" applyAlignment="1">
      <alignment horizontal="center" vertical="center" wrapText="1"/>
    </xf>
    <xf numFmtId="0" fontId="27" fillId="0" borderId="0" xfId="9" applyFont="1" applyAlignment="1">
      <alignment vertical="center"/>
    </xf>
    <xf numFmtId="0" fontId="13" fillId="0" borderId="1" xfId="0" applyFont="1" applyFill="1" applyBorder="1" applyAlignment="1">
      <alignment vertical="center" wrapText="1"/>
    </xf>
    <xf numFmtId="0" fontId="27" fillId="0" borderId="7" xfId="9" applyFont="1" applyFill="1" applyBorder="1" applyAlignment="1">
      <alignment vertical="center" wrapText="1"/>
    </xf>
    <xf numFmtId="0" fontId="27" fillId="4" borderId="1" xfId="9" applyFont="1" applyFill="1" applyBorder="1" applyAlignment="1">
      <alignment vertical="center" wrapText="1"/>
    </xf>
    <xf numFmtId="3" fontId="27" fillId="4" borderId="1" xfId="9" applyNumberFormat="1" applyFont="1" applyFill="1" applyBorder="1" applyAlignment="1">
      <alignment vertical="center" wrapText="1"/>
    </xf>
    <xf numFmtId="0" fontId="27" fillId="4" borderId="1" xfId="9" applyFont="1" applyFill="1" applyBorder="1"/>
    <xf numFmtId="3" fontId="27" fillId="4" borderId="1" xfId="9" applyNumberFormat="1" applyFont="1" applyFill="1" applyBorder="1"/>
    <xf numFmtId="0" fontId="27" fillId="0" borderId="0" xfId="9" applyFont="1" applyBorder="1" applyAlignment="1">
      <alignment vertical="center" wrapText="1"/>
    </xf>
    <xf numFmtId="0" fontId="14" fillId="0" borderId="1" xfId="9" applyFont="1" applyBorder="1" applyAlignment="1">
      <alignment horizontal="center" vertical="center" wrapText="1"/>
    </xf>
    <xf numFmtId="0" fontId="27" fillId="0" borderId="0" xfId="0" applyFont="1"/>
    <xf numFmtId="0" fontId="14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4" fillId="4" borderId="1" xfId="0" applyFont="1" applyFill="1" applyBorder="1"/>
    <xf numFmtId="3" fontId="14" fillId="4" borderId="1" xfId="0" applyNumberFormat="1" applyFont="1" applyFill="1" applyBorder="1"/>
    <xf numFmtId="0" fontId="27" fillId="4" borderId="1" xfId="0" applyFont="1" applyFill="1" applyBorder="1"/>
    <xf numFmtId="3" fontId="27" fillId="4" borderId="1" xfId="0" applyNumberFormat="1" applyFont="1" applyFill="1" applyBorder="1"/>
    <xf numFmtId="0" fontId="27" fillId="0" borderId="1" xfId="0" applyFont="1" applyFill="1" applyBorder="1"/>
    <xf numFmtId="0" fontId="14" fillId="0" borderId="6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166" fontId="27" fillId="0" borderId="1" xfId="0" applyNumberFormat="1" applyFont="1" applyBorder="1"/>
    <xf numFmtId="0" fontId="14" fillId="0" borderId="1" xfId="0" applyFont="1" applyFill="1" applyBorder="1"/>
    <xf numFmtId="166" fontId="14" fillId="0" borderId="1" xfId="0" applyNumberFormat="1" applyFont="1" applyBorder="1"/>
    <xf numFmtId="0" fontId="27" fillId="0" borderId="0" xfId="0" applyFont="1" applyBorder="1"/>
    <xf numFmtId="0" fontId="14" fillId="0" borderId="1" xfId="0" applyFont="1" applyFill="1" applyBorder="1" applyAlignment="1">
      <alignment horizontal="center" vertical="center" wrapText="1"/>
    </xf>
    <xf numFmtId="166" fontId="14" fillId="0" borderId="1" xfId="0" applyNumberFormat="1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27" fillId="0" borderId="6" xfId="0" applyFont="1" applyFill="1" applyBorder="1"/>
    <xf numFmtId="166" fontId="27" fillId="0" borderId="6" xfId="0" applyNumberFormat="1" applyFont="1" applyFill="1" applyBorder="1" applyAlignment="1">
      <alignment vertical="center"/>
    </xf>
    <xf numFmtId="166" fontId="27" fillId="0" borderId="1" xfId="0" applyNumberFormat="1" applyFont="1" applyBorder="1" applyAlignment="1">
      <alignment vertical="center"/>
    </xf>
    <xf numFmtId="166" fontId="14" fillId="0" borderId="0" xfId="0" applyNumberFormat="1" applyFont="1" applyBorder="1" applyAlignment="1">
      <alignment vertical="center"/>
    </xf>
    <xf numFmtId="166" fontId="27" fillId="0" borderId="0" xfId="0" applyNumberFormat="1" applyFont="1" applyAlignment="1">
      <alignment vertical="center"/>
    </xf>
    <xf numFmtId="166" fontId="27" fillId="0" borderId="0" xfId="0" applyNumberFormat="1" applyFont="1"/>
    <xf numFmtId="0" fontId="14" fillId="0" borderId="1" xfId="0" applyFont="1" applyBorder="1"/>
    <xf numFmtId="166" fontId="14" fillId="0" borderId="0" xfId="0" applyNumberFormat="1" applyFont="1" applyBorder="1"/>
    <xf numFmtId="0" fontId="14" fillId="0" borderId="1" xfId="0" applyFont="1" applyBorder="1" applyAlignment="1">
      <alignment horizontal="center" vertical="center"/>
    </xf>
    <xf numFmtId="10" fontId="27" fillId="0" borderId="1" xfId="0" applyNumberFormat="1" applyFont="1" applyBorder="1" applyAlignment="1">
      <alignment horizontal="center"/>
    </xf>
    <xf numFmtId="10" fontId="27" fillId="0" borderId="1" xfId="0" applyNumberFormat="1" applyFont="1" applyFill="1" applyBorder="1" applyAlignment="1">
      <alignment horizontal="center"/>
    </xf>
    <xf numFmtId="0" fontId="27" fillId="4" borderId="1" xfId="7" applyFont="1" applyFill="1" applyBorder="1" applyAlignment="1">
      <alignment vertical="center" wrapText="1"/>
    </xf>
    <xf numFmtId="0" fontId="14" fillId="0" borderId="0" xfId="9" applyFont="1" applyBorder="1" applyAlignment="1">
      <alignment vertical="center" wrapText="1"/>
    </xf>
    <xf numFmtId="0" fontId="27" fillId="0" borderId="0" xfId="7" applyFont="1" applyBorder="1" applyAlignment="1">
      <alignment vertical="center" wrapText="1"/>
    </xf>
    <xf numFmtId="14" fontId="27" fillId="0" borderId="0" xfId="6" applyNumberFormat="1" applyFont="1" applyBorder="1" applyAlignment="1">
      <alignment vertical="center" wrapText="1"/>
    </xf>
    <xf numFmtId="0" fontId="27" fillId="0" borderId="0" xfId="6" applyFont="1" applyBorder="1" applyAlignment="1">
      <alignment vertical="center" wrapText="1"/>
    </xf>
    <xf numFmtId="0" fontId="14" fillId="0" borderId="0" xfId="0" applyFont="1" applyAlignment="1">
      <alignment horizontal="center"/>
    </xf>
    <xf numFmtId="0" fontId="48" fillId="0" borderId="0" xfId="2" applyFont="1" applyFill="1" applyBorder="1" applyAlignment="1">
      <alignment horizontal="center" vertical="center"/>
    </xf>
    <xf numFmtId="0" fontId="27" fillId="0" borderId="1" xfId="2" applyFont="1" applyFill="1" applyBorder="1" applyAlignment="1">
      <alignment horizontal="center" vertical="center"/>
    </xf>
    <xf numFmtId="3" fontId="27" fillId="0" borderId="0" xfId="2" applyNumberFormat="1" applyFont="1" applyFill="1" applyAlignment="1">
      <alignment horizontal="center" vertical="center"/>
    </xf>
    <xf numFmtId="0" fontId="27" fillId="0" borderId="0" xfId="2" applyFont="1" applyFill="1" applyAlignment="1">
      <alignment horizontal="center" vertical="center"/>
    </xf>
    <xf numFmtId="0" fontId="14" fillId="0" borderId="5" xfId="2" applyFont="1" applyBorder="1" applyAlignment="1">
      <alignment horizontal="center" vertical="center" wrapText="1"/>
    </xf>
    <xf numFmtId="0" fontId="14" fillId="0" borderId="1" xfId="2" applyFont="1" applyBorder="1" applyAlignment="1">
      <alignment horizontal="center"/>
    </xf>
    <xf numFmtId="0" fontId="27" fillId="0" borderId="0" xfId="2" applyFont="1" applyAlignment="1">
      <alignment wrapText="1"/>
    </xf>
    <xf numFmtId="0" fontId="27" fillId="0" borderId="1" xfId="2" applyFont="1" applyBorder="1" applyAlignment="1">
      <alignment wrapText="1"/>
    </xf>
    <xf numFmtId="0" fontId="14" fillId="0" borderId="1" xfId="7" applyFont="1" applyBorder="1" applyAlignment="1">
      <alignment horizontal="left" wrapText="1"/>
    </xf>
    <xf numFmtId="3" fontId="14" fillId="0" borderId="1" xfId="7" applyNumberFormat="1" applyFont="1" applyBorder="1" applyAlignment="1">
      <alignment vertical="center" wrapText="1"/>
    </xf>
    <xf numFmtId="0" fontId="14" fillId="0" borderId="1" xfId="2" applyFont="1" applyBorder="1" applyAlignment="1">
      <alignment horizontal="left" vertical="center" wrapText="1"/>
    </xf>
    <xf numFmtId="3" fontId="14" fillId="0" borderId="1" xfId="0" applyNumberFormat="1" applyFont="1" applyFill="1" applyBorder="1" applyAlignment="1">
      <alignment vertical="center"/>
    </xf>
    <xf numFmtId="3" fontId="14" fillId="0" borderId="1" xfId="0" applyNumberFormat="1" applyFont="1" applyFill="1" applyBorder="1" applyAlignment="1">
      <alignment horizontal="right" vertical="center"/>
    </xf>
    <xf numFmtId="0" fontId="14" fillId="0" borderId="0" xfId="2" applyFont="1" applyFill="1" applyAlignment="1">
      <alignment horizontal="center" vertical="center"/>
    </xf>
    <xf numFmtId="3" fontId="27" fillId="0" borderId="0" xfId="2" applyNumberFormat="1" applyFont="1"/>
    <xf numFmtId="3" fontId="27" fillId="0" borderId="1" xfId="2" applyNumberFormat="1" applyFont="1" applyFill="1" applyBorder="1" applyAlignment="1">
      <alignment horizontal="left" vertical="center" wrapText="1"/>
    </xf>
    <xf numFmtId="3" fontId="27" fillId="0" borderId="1" xfId="3" applyNumberFormat="1" applyFont="1" applyFill="1" applyBorder="1" applyAlignment="1">
      <alignment horizontal="left" vertical="center" wrapText="1"/>
    </xf>
    <xf numFmtId="3" fontId="24" fillId="2" borderId="1" xfId="0" applyNumberFormat="1" applyFont="1" applyFill="1" applyBorder="1" applyAlignment="1">
      <alignment vertical="center"/>
    </xf>
    <xf numFmtId="3" fontId="27" fillId="0" borderId="1" xfId="2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3" fontId="24" fillId="2" borderId="1" xfId="0" applyNumberFormat="1" applyFont="1" applyFill="1" applyBorder="1" applyAlignment="1">
      <alignment horizontal="right" vertical="center"/>
    </xf>
    <xf numFmtId="0" fontId="0" fillId="0" borderId="0" xfId="0" applyFill="1"/>
    <xf numFmtId="0" fontId="14" fillId="0" borderId="1" xfId="0" applyFont="1" applyFill="1" applyBorder="1" applyAlignment="1">
      <alignment horizontal="left" vertical="center"/>
    </xf>
    <xf numFmtId="3" fontId="14" fillId="0" borderId="1" xfId="0" applyNumberFormat="1" applyFont="1" applyFill="1" applyBorder="1"/>
    <xf numFmtId="0" fontId="24" fillId="0" borderId="1" xfId="0" applyFont="1" applyBorder="1" applyAlignment="1">
      <alignment vertical="center" wrapText="1"/>
    </xf>
    <xf numFmtId="3" fontId="17" fillId="0" borderId="1" xfId="0" applyNumberFormat="1" applyFont="1" applyFill="1" applyBorder="1" applyAlignment="1">
      <alignment horizontal="center" vertical="center" wrapText="1"/>
    </xf>
    <xf numFmtId="3" fontId="16" fillId="0" borderId="0" xfId="0" applyNumberFormat="1" applyFont="1" applyAlignment="1">
      <alignment horizontal="center"/>
    </xf>
    <xf numFmtId="3" fontId="14" fillId="0" borderId="1" xfId="0" applyNumberFormat="1" applyFont="1" applyBorder="1" applyAlignment="1">
      <alignment horizontal="center"/>
    </xf>
    <xf numFmtId="3" fontId="14" fillId="0" borderId="1" xfId="0" applyNumberFormat="1" applyFont="1" applyFill="1" applyBorder="1" applyAlignment="1">
      <alignment horizontal="center"/>
    </xf>
    <xf numFmtId="3" fontId="16" fillId="0" borderId="0" xfId="0" applyNumberFormat="1" applyFont="1" applyAlignment="1">
      <alignment horizontal="center" wrapText="1"/>
    </xf>
    <xf numFmtId="0" fontId="36" fillId="0" borderId="1" xfId="2" applyFont="1" applyBorder="1" applyAlignment="1">
      <alignment horizontal="center"/>
    </xf>
    <xf numFmtId="0" fontId="13" fillId="0" borderId="1" xfId="0" applyFont="1" applyBorder="1" applyAlignment="1">
      <alignment wrapText="1"/>
    </xf>
    <xf numFmtId="3" fontId="14" fillId="0" borderId="1" xfId="0" applyNumberFormat="1" applyFont="1" applyBorder="1" applyAlignment="1">
      <alignment horizontal="center" vertical="center"/>
    </xf>
    <xf numFmtId="3" fontId="14" fillId="0" borderId="1" xfId="0" applyNumberFormat="1" applyFont="1" applyFill="1" applyBorder="1" applyAlignment="1">
      <alignment horizontal="center"/>
    </xf>
    <xf numFmtId="3" fontId="20" fillId="0" borderId="1" xfId="0" applyNumberFormat="1" applyFont="1" applyFill="1" applyBorder="1" applyAlignment="1">
      <alignment horizontal="right" vertical="center"/>
    </xf>
    <xf numFmtId="3" fontId="13" fillId="0" borderId="1" xfId="0" applyNumberFormat="1" applyFont="1" applyFill="1" applyBorder="1" applyAlignment="1">
      <alignment horizontal="right" vertical="center"/>
    </xf>
    <xf numFmtId="3" fontId="13" fillId="0" borderId="1" xfId="0" applyNumberFormat="1" applyFont="1" applyFill="1" applyBorder="1" applyAlignment="1">
      <alignment vertical="center" wrapText="1"/>
    </xf>
    <xf numFmtId="3" fontId="27" fillId="0" borderId="1" xfId="2" applyNumberFormat="1" applyFont="1" applyFill="1" applyBorder="1" applyAlignment="1">
      <alignment vertical="center"/>
    </xf>
    <xf numFmtId="3" fontId="27" fillId="0" borderId="1" xfId="2" applyNumberFormat="1" applyFont="1" applyFill="1" applyBorder="1" applyAlignment="1">
      <alignment horizontal="right" vertical="center"/>
    </xf>
    <xf numFmtId="3" fontId="29" fillId="0" borderId="1" xfId="2" applyNumberFormat="1" applyFont="1" applyFill="1" applyBorder="1" applyAlignment="1">
      <alignment horizontal="right" vertical="center"/>
    </xf>
    <xf numFmtId="3" fontId="14" fillId="0" borderId="1" xfId="2" applyNumberFormat="1" applyFont="1" applyFill="1" applyBorder="1" applyAlignment="1">
      <alignment horizontal="right" vertical="center"/>
    </xf>
    <xf numFmtId="0" fontId="27" fillId="0" borderId="1" xfId="0" applyFont="1" applyBorder="1" applyAlignment="1">
      <alignment vertical="center" wrapText="1"/>
    </xf>
    <xf numFmtId="0" fontId="27" fillId="0" borderId="0" xfId="2" applyFont="1" applyFill="1" applyAlignment="1">
      <alignment horizontal="left" vertical="center"/>
    </xf>
    <xf numFmtId="3" fontId="27" fillId="0" borderId="1" xfId="2" applyNumberFormat="1" applyFont="1" applyFill="1" applyBorder="1" applyAlignment="1">
      <alignment horizontal="center" vertical="center"/>
    </xf>
    <xf numFmtId="3" fontId="20" fillId="0" borderId="1" xfId="0" applyNumberFormat="1" applyFont="1" applyBorder="1" applyAlignment="1">
      <alignment vertical="center"/>
    </xf>
    <xf numFmtId="0" fontId="13" fillId="0" borderId="1" xfId="2" applyFont="1" applyFill="1" applyBorder="1" applyAlignment="1">
      <alignment horizontal="left" vertical="center" wrapText="1"/>
    </xf>
    <xf numFmtId="0" fontId="27" fillId="0" borderId="1" xfId="0" applyFont="1" applyBorder="1" applyAlignment="1">
      <alignment wrapText="1"/>
    </xf>
    <xf numFmtId="3" fontId="44" fillId="12" borderId="1" xfId="2" applyNumberFormat="1" applyFont="1" applyFill="1" applyBorder="1" applyAlignment="1">
      <alignment horizontal="center" vertical="center"/>
    </xf>
    <xf numFmtId="0" fontId="13" fillId="10" borderId="1" xfId="21" applyFont="1" applyFill="1" applyBorder="1" applyAlignment="1">
      <alignment horizontal="left" vertical="center" wrapText="1"/>
    </xf>
    <xf numFmtId="3" fontId="14" fillId="0" borderId="1" xfId="0" applyNumberFormat="1" applyFont="1" applyBorder="1" applyAlignment="1">
      <alignment horizontal="center" vertical="center"/>
    </xf>
    <xf numFmtId="3" fontId="14" fillId="0" borderId="1" xfId="0" applyNumberFormat="1" applyFont="1" applyFill="1" applyBorder="1" applyAlignment="1">
      <alignment horizontal="center"/>
    </xf>
    <xf numFmtId="3" fontId="17" fillId="0" borderId="1" xfId="0" applyNumberFormat="1" applyFont="1" applyBorder="1" applyAlignment="1">
      <alignment vertical="center"/>
    </xf>
    <xf numFmtId="0" fontId="16" fillId="0" borderId="0" xfId="2" applyFont="1" applyFill="1" applyBorder="1" applyAlignment="1">
      <alignment horizontal="center" vertical="center" wrapText="1"/>
    </xf>
    <xf numFmtId="0" fontId="27" fillId="0" borderId="1" xfId="6" applyFont="1" applyFill="1" applyBorder="1" applyAlignment="1">
      <alignment vertical="center" wrapText="1"/>
    </xf>
    <xf numFmtId="0" fontId="29" fillId="0" borderId="1" xfId="6" applyFont="1" applyFill="1" applyBorder="1" applyAlignment="1">
      <alignment vertical="center" wrapText="1"/>
    </xf>
    <xf numFmtId="3" fontId="13" fillId="0" borderId="1" xfId="6" applyNumberFormat="1" applyFont="1" applyFill="1" applyBorder="1" applyAlignment="1">
      <alignment horizontal="left" vertical="center" wrapText="1"/>
    </xf>
    <xf numFmtId="3" fontId="14" fillId="0" borderId="1" xfId="2" applyNumberFormat="1" applyFont="1" applyFill="1" applyBorder="1" applyAlignment="1">
      <alignment horizontal="center" vertical="center" wrapText="1"/>
    </xf>
    <xf numFmtId="3" fontId="27" fillId="0" borderId="0" xfId="2" applyNumberFormat="1" applyFont="1" applyFill="1" applyAlignment="1">
      <alignment vertical="center" wrapText="1"/>
    </xf>
    <xf numFmtId="0" fontId="27" fillId="0" borderId="0" xfId="2" applyFont="1" applyFill="1" applyAlignment="1">
      <alignment vertical="center" wrapText="1"/>
    </xf>
    <xf numFmtId="3" fontId="27" fillId="0" borderId="0" xfId="2" applyNumberFormat="1" applyFont="1" applyFill="1" applyBorder="1" applyAlignment="1">
      <alignment horizontal="center" vertical="center" wrapText="1"/>
    </xf>
    <xf numFmtId="3" fontId="27" fillId="0" borderId="0" xfId="2" applyNumberFormat="1" applyFont="1" applyFill="1" applyBorder="1" applyAlignment="1">
      <alignment vertical="center" wrapText="1"/>
    </xf>
    <xf numFmtId="0" fontId="29" fillId="0" borderId="1" xfId="2" applyFont="1" applyFill="1" applyBorder="1" applyAlignment="1">
      <alignment horizontal="left" vertical="center"/>
    </xf>
    <xf numFmtId="3" fontId="14" fillId="0" borderId="1" xfId="0" applyNumberFormat="1" applyFont="1" applyBorder="1" applyAlignment="1">
      <alignment horizontal="center" vertical="center"/>
    </xf>
    <xf numFmtId="3" fontId="14" fillId="0" borderId="1" xfId="0" applyNumberFormat="1" applyFont="1" applyFill="1" applyBorder="1" applyAlignment="1">
      <alignment horizontal="center"/>
    </xf>
    <xf numFmtId="3" fontId="14" fillId="0" borderId="1" xfId="0" applyNumberFormat="1" applyFont="1" applyBorder="1" applyAlignment="1">
      <alignment horizontal="center" vertical="center"/>
    </xf>
    <xf numFmtId="3" fontId="14" fillId="0" borderId="1" xfId="0" applyNumberFormat="1" applyFont="1" applyFill="1" applyBorder="1" applyAlignment="1">
      <alignment horizontal="center"/>
    </xf>
    <xf numFmtId="3" fontId="17" fillId="0" borderId="1" xfId="0" applyNumberFormat="1" applyFont="1" applyBorder="1" applyAlignment="1">
      <alignment horizontal="right" vertical="center"/>
    </xf>
    <xf numFmtId="3" fontId="23" fillId="0" borderId="1" xfId="0" applyNumberFormat="1" applyFont="1" applyBorder="1" applyAlignment="1">
      <alignment vertical="center"/>
    </xf>
    <xf numFmtId="3" fontId="17" fillId="0" borderId="2" xfId="0" applyNumberFormat="1" applyFont="1" applyFill="1" applyBorder="1" applyAlignment="1">
      <alignment horizontal="center" vertical="center" wrapText="1"/>
    </xf>
    <xf numFmtId="3" fontId="14" fillId="0" borderId="2" xfId="6" applyNumberFormat="1" applyFont="1" applyFill="1" applyBorder="1" applyAlignment="1">
      <alignment horizontal="center" vertical="center"/>
    </xf>
    <xf numFmtId="3" fontId="27" fillId="0" borderId="2" xfId="2" applyNumberFormat="1" applyFont="1" applyFill="1" applyBorder="1" applyAlignment="1">
      <alignment horizontal="right" vertical="center"/>
    </xf>
    <xf numFmtId="3" fontId="27" fillId="0" borderId="2" xfId="2" applyNumberFormat="1" applyFont="1" applyFill="1" applyBorder="1" applyAlignment="1">
      <alignment vertical="center"/>
    </xf>
    <xf numFmtId="3" fontId="24" fillId="0" borderId="1" xfId="3" applyNumberFormat="1" applyFont="1" applyFill="1" applyBorder="1" applyAlignment="1">
      <alignment horizontal="left" vertical="center" wrapText="1"/>
    </xf>
    <xf numFmtId="3" fontId="13" fillId="0" borderId="1" xfId="7" applyNumberFormat="1" applyFont="1" applyBorder="1" applyAlignment="1">
      <alignment vertical="center" wrapText="1"/>
    </xf>
    <xf numFmtId="3" fontId="27" fillId="0" borderId="1" xfId="2" applyNumberFormat="1" applyFont="1" applyFill="1" applyBorder="1" applyAlignment="1">
      <alignment horizontal="right" vertical="center"/>
    </xf>
    <xf numFmtId="3" fontId="27" fillId="0" borderId="2" xfId="2" applyNumberFormat="1" applyFont="1" applyFill="1" applyBorder="1" applyAlignment="1">
      <alignment vertical="center"/>
    </xf>
    <xf numFmtId="3" fontId="27" fillId="0" borderId="2" xfId="2" applyNumberFormat="1" applyFont="1" applyFill="1" applyBorder="1" applyAlignment="1">
      <alignment horizontal="right" vertical="center"/>
    </xf>
    <xf numFmtId="0" fontId="14" fillId="0" borderId="0" xfId="0" applyFont="1" applyAlignment="1">
      <alignment horizontal="center"/>
    </xf>
    <xf numFmtId="3" fontId="14" fillId="0" borderId="1" xfId="0" applyNumberFormat="1" applyFont="1" applyBorder="1" applyAlignment="1">
      <alignment horizontal="center" vertical="center"/>
    </xf>
    <xf numFmtId="3" fontId="14" fillId="0" borderId="1" xfId="0" applyNumberFormat="1" applyFont="1" applyFill="1" applyBorder="1" applyAlignment="1">
      <alignment horizontal="center"/>
    </xf>
    <xf numFmtId="3" fontId="25" fillId="0" borderId="1" xfId="0" applyNumberFormat="1" applyFont="1" applyBorder="1" applyAlignment="1">
      <alignment horizontal="right" vertical="center"/>
    </xf>
    <xf numFmtId="3" fontId="14" fillId="0" borderId="1" xfId="0" applyNumberFormat="1" applyFont="1" applyBorder="1" applyAlignment="1">
      <alignment horizontal="right" vertical="center"/>
    </xf>
    <xf numFmtId="3" fontId="28" fillId="0" borderId="1" xfId="0" applyNumberFormat="1" applyFont="1" applyBorder="1" applyAlignment="1">
      <alignment horizontal="right" vertical="center"/>
    </xf>
    <xf numFmtId="3" fontId="28" fillId="0" borderId="1" xfId="0" applyNumberFormat="1" applyFont="1" applyBorder="1"/>
    <xf numFmtId="3" fontId="14" fillId="0" borderId="1" xfId="0" applyNumberFormat="1" applyFont="1" applyFill="1" applyBorder="1" applyAlignment="1">
      <alignment horizontal="center"/>
    </xf>
    <xf numFmtId="3" fontId="16" fillId="0" borderId="0" xfId="2" applyNumberFormat="1" applyFont="1" applyAlignment="1">
      <alignment horizontal="center"/>
    </xf>
    <xf numFmtId="0" fontId="17" fillId="0" borderId="1" xfId="0" applyFont="1" applyBorder="1" applyAlignment="1">
      <alignment vertical="center" wrapText="1"/>
    </xf>
    <xf numFmtId="3" fontId="14" fillId="0" borderId="4" xfId="0" applyNumberFormat="1" applyFont="1" applyFill="1" applyBorder="1" applyAlignment="1">
      <alignment vertical="center"/>
    </xf>
    <xf numFmtId="3" fontId="14" fillId="0" borderId="1" xfId="0" applyNumberFormat="1" applyFont="1" applyFill="1" applyBorder="1" applyAlignment="1">
      <alignment horizontal="center"/>
    </xf>
    <xf numFmtId="3" fontId="14" fillId="0" borderId="1" xfId="0" applyNumberFormat="1" applyFont="1" applyFill="1" applyBorder="1" applyAlignment="1">
      <alignment horizontal="center"/>
    </xf>
    <xf numFmtId="0" fontId="14" fillId="0" borderId="0" xfId="7" applyFont="1" applyFill="1" applyAlignment="1">
      <alignment horizontal="right"/>
    </xf>
    <xf numFmtId="0" fontId="14" fillId="0" borderId="0" xfId="7" applyFont="1" applyAlignment="1">
      <alignment horizontal="center" vertical="center"/>
    </xf>
    <xf numFmtId="0" fontId="13" fillId="0" borderId="0" xfId="7" applyFont="1" applyFill="1" applyBorder="1" applyAlignment="1">
      <alignment vertical="center" wrapText="1"/>
    </xf>
    <xf numFmtId="0" fontId="14" fillId="0" borderId="0" xfId="0" applyFont="1" applyAlignment="1">
      <alignment horizontal="center"/>
    </xf>
    <xf numFmtId="3" fontId="14" fillId="0" borderId="1" xfId="0" applyNumberFormat="1" applyFont="1" applyFill="1" applyBorder="1" applyAlignment="1">
      <alignment horizontal="center" vertical="center"/>
    </xf>
    <xf numFmtId="3" fontId="14" fillId="0" borderId="0" xfId="0" applyNumberFormat="1" applyFont="1" applyAlignment="1">
      <alignment horizontal="center"/>
    </xf>
    <xf numFmtId="3" fontId="14" fillId="0" borderId="1" xfId="0" applyNumberFormat="1" applyFont="1" applyFill="1" applyBorder="1" applyAlignment="1">
      <alignment horizontal="center"/>
    </xf>
    <xf numFmtId="3" fontId="14" fillId="0" borderId="0" xfId="2" applyNumberFormat="1" applyFont="1" applyAlignment="1">
      <alignment horizontal="center"/>
    </xf>
    <xf numFmtId="3" fontId="25" fillId="0" borderId="1" xfId="1" applyNumberFormat="1" applyFont="1" applyBorder="1" applyAlignment="1">
      <alignment horizontal="center" vertical="center" wrapText="1"/>
    </xf>
    <xf numFmtId="3" fontId="17" fillId="0" borderId="1" xfId="21" applyNumberFormat="1" applyFont="1" applyFill="1" applyBorder="1" applyAlignment="1">
      <alignment horizontal="center" vertical="center"/>
    </xf>
    <xf numFmtId="0" fontId="24" fillId="0" borderId="0" xfId="2" applyFont="1" applyFill="1" applyAlignment="1">
      <alignment horizontal="right"/>
    </xf>
    <xf numFmtId="0" fontId="40" fillId="0" borderId="0" xfId="0" applyFont="1" applyAlignment="1">
      <alignment horizontal="center" vertical="center"/>
    </xf>
    <xf numFmtId="3" fontId="13" fillId="0" borderId="1" xfId="0" applyNumberFormat="1" applyFont="1" applyBorder="1" applyAlignment="1">
      <alignment horizontal="center" vertical="center" wrapText="1"/>
    </xf>
    <xf numFmtId="0" fontId="24" fillId="0" borderId="0" xfId="2" applyFont="1" applyAlignment="1">
      <alignment horizontal="center"/>
    </xf>
    <xf numFmtId="0" fontId="24" fillId="0" borderId="0" xfId="2" applyFont="1"/>
    <xf numFmtId="9" fontId="24" fillId="0" borderId="0" xfId="2" applyNumberFormat="1" applyFont="1" applyAlignment="1">
      <alignment horizontal="center"/>
    </xf>
    <xf numFmtId="0" fontId="24" fillId="0" borderId="0" xfId="2" applyFont="1" applyFill="1"/>
    <xf numFmtId="0" fontId="28" fillId="0" borderId="0" xfId="2" applyFont="1"/>
    <xf numFmtId="0" fontId="26" fillId="0" borderId="0" xfId="2" applyFont="1"/>
    <xf numFmtId="0" fontId="33" fillId="0" borderId="0" xfId="2" applyFont="1" applyAlignment="1">
      <alignment horizontal="center"/>
    </xf>
    <xf numFmtId="0" fontId="19" fillId="0" borderId="0" xfId="2" applyFont="1" applyAlignment="1">
      <alignment horizontal="center"/>
    </xf>
    <xf numFmtId="0" fontId="24" fillId="0" borderId="0" xfId="2" applyFont="1" applyAlignment="1">
      <alignment horizontal="right"/>
    </xf>
    <xf numFmtId="0" fontId="24" fillId="0" borderId="1" xfId="2" applyFont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24" fillId="0" borderId="1" xfId="2" applyFont="1" applyBorder="1"/>
    <xf numFmtId="9" fontId="13" fillId="0" borderId="1" xfId="2" applyNumberFormat="1" applyFont="1" applyBorder="1" applyAlignment="1">
      <alignment horizontal="center"/>
    </xf>
    <xf numFmtId="3" fontId="14" fillId="0" borderId="1" xfId="2" applyNumberFormat="1" applyFont="1" applyFill="1" applyBorder="1"/>
    <xf numFmtId="0" fontId="24" fillId="0" borderId="1" xfId="2" applyFont="1" applyBorder="1" applyAlignment="1">
      <alignment wrapText="1"/>
    </xf>
    <xf numFmtId="0" fontId="27" fillId="0" borderId="0" xfId="2" applyFont="1" applyBorder="1"/>
    <xf numFmtId="9" fontId="28" fillId="0" borderId="1" xfId="2" applyNumberFormat="1" applyFont="1" applyBorder="1" applyAlignment="1">
      <alignment horizontal="center"/>
    </xf>
    <xf numFmtId="3" fontId="28" fillId="0" borderId="1" xfId="2" applyNumberFormat="1" applyFont="1" applyBorder="1"/>
    <xf numFmtId="0" fontId="28" fillId="0" borderId="0" xfId="2" applyFont="1" applyBorder="1"/>
    <xf numFmtId="3" fontId="36" fillId="0" borderId="0" xfId="2" applyNumberFormat="1" applyFont="1" applyFill="1" applyBorder="1" applyAlignment="1">
      <alignment horizontal="center" vertical="center"/>
    </xf>
    <xf numFmtId="3" fontId="27" fillId="0" borderId="1" xfId="2" applyNumberFormat="1" applyFont="1" applyFill="1" applyBorder="1"/>
    <xf numFmtId="0" fontId="24" fillId="0" borderId="1" xfId="2" applyFont="1" applyBorder="1" applyAlignment="1">
      <alignment horizontal="right"/>
    </xf>
    <xf numFmtId="0" fontId="24" fillId="0" borderId="1" xfId="2" applyFont="1" applyBorder="1" applyAlignment="1">
      <alignment horizontal="left"/>
    </xf>
    <xf numFmtId="3" fontId="20" fillId="0" borderId="1" xfId="0" applyNumberFormat="1" applyFont="1" applyBorder="1" applyAlignment="1">
      <alignment horizontal="right" vertical="center"/>
    </xf>
    <xf numFmtId="3" fontId="13" fillId="0" borderId="0" xfId="3" applyNumberFormat="1" applyFont="1" applyFill="1" applyAlignment="1">
      <alignment horizontal="center" vertical="center" wrapText="1"/>
    </xf>
    <xf numFmtId="3" fontId="17" fillId="0" borderId="0" xfId="3" applyNumberFormat="1" applyFont="1" applyFill="1" applyAlignment="1">
      <alignment vertical="center" wrapText="1"/>
    </xf>
    <xf numFmtId="3" fontId="17" fillId="0" borderId="0" xfId="3" applyNumberFormat="1" applyFont="1" applyFill="1" applyAlignment="1">
      <alignment horizontal="center" vertical="center" wrapText="1"/>
    </xf>
    <xf numFmtId="3" fontId="13" fillId="0" borderId="0" xfId="3" applyNumberFormat="1" applyFont="1" applyFill="1" applyAlignment="1">
      <alignment vertical="center" wrapText="1"/>
    </xf>
    <xf numFmtId="3" fontId="14" fillId="0" borderId="0" xfId="3" applyNumberFormat="1" applyFont="1" applyFill="1" applyAlignment="1">
      <alignment vertical="center" wrapText="1"/>
    </xf>
    <xf numFmtId="3" fontId="13" fillId="0" borderId="0" xfId="3" applyNumberFormat="1" applyFont="1" applyFill="1" applyAlignment="1">
      <alignment horizontal="right" vertical="center" wrapText="1"/>
    </xf>
    <xf numFmtId="3" fontId="17" fillId="0" borderId="1" xfId="3" applyNumberFormat="1" applyFont="1" applyFill="1" applyBorder="1" applyAlignment="1">
      <alignment horizontal="center" vertical="center" wrapText="1"/>
    </xf>
    <xf numFmtId="3" fontId="24" fillId="0" borderId="1" xfId="3" applyNumberFormat="1" applyFont="1" applyFill="1" applyBorder="1" applyAlignment="1">
      <alignment horizontal="center" vertical="center" wrapText="1"/>
    </xf>
    <xf numFmtId="3" fontId="13" fillId="0" borderId="1" xfId="3" applyNumberFormat="1" applyFont="1" applyFill="1" applyBorder="1" applyAlignment="1">
      <alignment horizontal="center" vertical="center" wrapText="1"/>
    </xf>
    <xf numFmtId="3" fontId="27" fillId="0" borderId="1" xfId="3" applyNumberFormat="1" applyFont="1" applyFill="1" applyBorder="1" applyAlignment="1">
      <alignment vertical="center" wrapText="1"/>
    </xf>
    <xf numFmtId="3" fontId="17" fillId="0" borderId="1" xfId="3" applyNumberFormat="1" applyFont="1" applyFill="1" applyBorder="1" applyAlignment="1">
      <alignment vertical="center" wrapText="1"/>
    </xf>
    <xf numFmtId="3" fontId="68" fillId="0" borderId="1" xfId="0" applyNumberFormat="1" applyFont="1" applyFill="1" applyBorder="1" applyAlignment="1">
      <alignment horizontal="center" vertical="center" wrapText="1"/>
    </xf>
    <xf numFmtId="3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vertical="center"/>
    </xf>
    <xf numFmtId="0" fontId="27" fillId="0" borderId="1" xfId="0" applyFont="1" applyBorder="1" applyAlignment="1">
      <alignment vertical="center"/>
    </xf>
    <xf numFmtId="0" fontId="32" fillId="0" borderId="1" xfId="0" applyFont="1" applyBorder="1" applyAlignment="1">
      <alignment vertical="center" wrapText="1"/>
    </xf>
    <xf numFmtId="3" fontId="27" fillId="0" borderId="1" xfId="3" applyNumberFormat="1" applyFont="1" applyFill="1" applyBorder="1" applyAlignment="1">
      <alignment horizontal="center" vertical="center" wrapText="1"/>
    </xf>
    <xf numFmtId="3" fontId="14" fillId="0" borderId="1" xfId="3" applyNumberFormat="1" applyFont="1" applyFill="1" applyBorder="1" applyAlignment="1">
      <alignment vertical="center" wrapText="1"/>
    </xf>
    <xf numFmtId="3" fontId="68" fillId="0" borderId="1" xfId="3" applyNumberFormat="1" applyFont="1" applyFill="1" applyBorder="1" applyAlignment="1">
      <alignment horizontal="center" vertical="center" wrapText="1"/>
    </xf>
    <xf numFmtId="3" fontId="68" fillId="0" borderId="1" xfId="3" applyNumberFormat="1" applyFont="1" applyFill="1" applyBorder="1" applyAlignment="1">
      <alignment vertical="center" wrapText="1"/>
    </xf>
    <xf numFmtId="3" fontId="13" fillId="0" borderId="1" xfId="2" applyNumberFormat="1" applyFont="1" applyFill="1" applyBorder="1" applyAlignment="1">
      <alignment horizontal="left" vertical="center" wrapText="1"/>
    </xf>
    <xf numFmtId="0" fontId="27" fillId="0" borderId="1" xfId="0" applyFont="1" applyBorder="1" applyAlignment="1">
      <alignment horizontal="left" vertical="center"/>
    </xf>
    <xf numFmtId="0" fontId="27" fillId="10" borderId="1" xfId="0" applyFont="1" applyFill="1" applyBorder="1" applyAlignment="1">
      <alignment horizontal="left" vertical="center"/>
    </xf>
    <xf numFmtId="3" fontId="14" fillId="0" borderId="0" xfId="3" applyNumberFormat="1" applyFont="1" applyFill="1" applyBorder="1" applyAlignment="1">
      <alignment vertical="center" wrapText="1"/>
    </xf>
    <xf numFmtId="0" fontId="27" fillId="0" borderId="0" xfId="0" applyFont="1" applyAlignment="1">
      <alignment vertical="center"/>
    </xf>
    <xf numFmtId="3" fontId="27" fillId="0" borderId="0" xfId="3" applyNumberFormat="1" applyFont="1" applyFill="1" applyBorder="1" applyAlignment="1">
      <alignment horizontal="center" vertical="center" wrapText="1"/>
    </xf>
    <xf numFmtId="3" fontId="29" fillId="0" borderId="0" xfId="3" applyNumberFormat="1" applyFont="1" applyFill="1" applyBorder="1" applyAlignment="1">
      <alignment horizontal="center" vertical="center" wrapText="1"/>
    </xf>
    <xf numFmtId="3" fontId="14" fillId="0" borderId="1" xfId="3" applyNumberFormat="1" applyFont="1" applyFill="1" applyBorder="1" applyAlignment="1">
      <alignment horizontal="center" vertical="center" wrapText="1"/>
    </xf>
    <xf numFmtId="3" fontId="14" fillId="0" borderId="1" xfId="0" applyNumberFormat="1" applyFont="1" applyFill="1" applyBorder="1" applyAlignment="1">
      <alignment horizontal="center" vertical="center" wrapText="1"/>
    </xf>
    <xf numFmtId="3" fontId="27" fillId="0" borderId="1" xfId="0" applyNumberFormat="1" applyFont="1" applyFill="1" applyBorder="1" applyAlignment="1">
      <alignment vertical="center"/>
    </xf>
    <xf numFmtId="3" fontId="31" fillId="0" borderId="1" xfId="0" applyNumberFormat="1" applyFont="1" applyBorder="1" applyAlignment="1">
      <alignment vertical="center" wrapText="1"/>
    </xf>
    <xf numFmtId="3" fontId="28" fillId="0" borderId="1" xfId="3" applyNumberFormat="1" applyFont="1" applyFill="1" applyBorder="1" applyAlignment="1">
      <alignment horizontal="center" vertical="center" wrapText="1"/>
    </xf>
    <xf numFmtId="3" fontId="31" fillId="0" borderId="1" xfId="0" applyNumberFormat="1" applyFont="1" applyFill="1" applyBorder="1" applyAlignment="1">
      <alignment vertical="center" wrapText="1"/>
    </xf>
    <xf numFmtId="9" fontId="13" fillId="0" borderId="1" xfId="2" applyNumberFormat="1" applyFont="1" applyBorder="1" applyAlignment="1">
      <alignment horizontal="center" vertical="center"/>
    </xf>
    <xf numFmtId="0" fontId="14" fillId="0" borderId="0" xfId="2" applyFont="1" applyFill="1" applyAlignment="1">
      <alignment horizontal="center" vertical="center"/>
    </xf>
    <xf numFmtId="0" fontId="24" fillId="0" borderId="1" xfId="0" applyFont="1" applyFill="1" applyBorder="1" applyAlignment="1">
      <alignment vertical="center" wrapText="1"/>
    </xf>
    <xf numFmtId="0" fontId="69" fillId="0" borderId="1" xfId="0" applyFont="1" applyBorder="1" applyAlignment="1">
      <alignment wrapText="1"/>
    </xf>
    <xf numFmtId="0" fontId="27" fillId="0" borderId="1" xfId="0" applyFont="1" applyFill="1" applyBorder="1" applyAlignment="1">
      <alignment horizontal="center" vertical="center" wrapText="1"/>
    </xf>
    <xf numFmtId="1" fontId="14" fillId="0" borderId="1" xfId="0" applyNumberFormat="1" applyFont="1" applyFill="1" applyBorder="1" applyAlignment="1">
      <alignment horizontal="center"/>
    </xf>
    <xf numFmtId="1" fontId="14" fillId="0" borderId="1" xfId="0" applyNumberFormat="1" applyFont="1" applyFill="1" applyBorder="1" applyAlignment="1">
      <alignment horizontal="center" vertical="center"/>
    </xf>
    <xf numFmtId="3" fontId="14" fillId="0" borderId="0" xfId="12" applyNumberFormat="1" applyFont="1" applyAlignment="1">
      <alignment horizontal="center"/>
    </xf>
    <xf numFmtId="3" fontId="14" fillId="0" borderId="0" xfId="0" applyNumberFormat="1" applyFont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3" fontId="14" fillId="0" borderId="0" xfId="0" applyNumberFormat="1" applyFont="1" applyAlignment="1">
      <alignment horizontal="right"/>
    </xf>
    <xf numFmtId="0" fontId="27" fillId="0" borderId="0" xfId="0" applyFont="1" applyAlignment="1">
      <alignment horizontal="left" vertical="center" wrapText="1"/>
    </xf>
    <xf numFmtId="3" fontId="14" fillId="0" borderId="0" xfId="0" applyNumberFormat="1" applyFont="1" applyAlignment="1">
      <alignment vertical="center"/>
    </xf>
    <xf numFmtId="3" fontId="24" fillId="0" borderId="0" xfId="0" applyNumberFormat="1" applyFont="1" applyFill="1" applyAlignment="1">
      <alignment horizontal="right" vertical="center"/>
    </xf>
    <xf numFmtId="0" fontId="27" fillId="0" borderId="0" xfId="0" applyFont="1" applyAlignment="1">
      <alignment horizontal="right" vertical="center"/>
    </xf>
    <xf numFmtId="3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24" fillId="0" borderId="0" xfId="0" applyFont="1"/>
    <xf numFmtId="0" fontId="24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17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4" fontId="27" fillId="0" borderId="1" xfId="0" applyNumberFormat="1" applyFont="1" applyFill="1" applyBorder="1" applyAlignment="1">
      <alignment vertical="center"/>
    </xf>
    <xf numFmtId="0" fontId="24" fillId="0" borderId="1" xfId="0" applyFont="1" applyBorder="1" applyAlignment="1">
      <alignment horizontal="center" vertical="center" wrapText="1"/>
    </xf>
    <xf numFmtId="165" fontId="27" fillId="0" borderId="1" xfId="0" applyNumberFormat="1" applyFont="1" applyFill="1" applyBorder="1" applyAlignment="1">
      <alignment vertical="center"/>
    </xf>
    <xf numFmtId="165" fontId="27" fillId="0" borderId="1" xfId="0" applyNumberFormat="1" applyFont="1" applyBorder="1" applyAlignment="1">
      <alignment vertical="center"/>
    </xf>
    <xf numFmtId="0" fontId="35" fillId="0" borderId="1" xfId="0" applyFont="1" applyBorder="1" applyAlignment="1">
      <alignment horizontal="left" vertical="center" wrapText="1"/>
    </xf>
    <xf numFmtId="0" fontId="35" fillId="0" borderId="1" xfId="0" applyFont="1" applyBorder="1" applyAlignment="1">
      <alignment horizontal="center" vertical="center"/>
    </xf>
    <xf numFmtId="3" fontId="44" fillId="0" borderId="1" xfId="0" applyNumberFormat="1" applyFont="1" applyFill="1" applyBorder="1" applyAlignment="1">
      <alignment vertical="center"/>
    </xf>
    <xf numFmtId="167" fontId="29" fillId="0" borderId="1" xfId="23" applyNumberFormat="1" applyFont="1" applyFill="1" applyBorder="1" applyAlignment="1">
      <alignment vertical="center"/>
    </xf>
    <xf numFmtId="3" fontId="29" fillId="0" borderId="1" xfId="0" applyNumberFormat="1" applyFont="1" applyFill="1" applyBorder="1" applyAlignment="1">
      <alignment vertical="center"/>
    </xf>
    <xf numFmtId="3" fontId="29" fillId="0" borderId="1" xfId="0" applyNumberFormat="1" applyFont="1" applyBorder="1" applyAlignment="1">
      <alignment vertical="center"/>
    </xf>
    <xf numFmtId="0" fontId="35" fillId="0" borderId="1" xfId="0" applyFont="1" applyBorder="1" applyAlignment="1">
      <alignment horizontal="center" vertical="center" wrapText="1"/>
    </xf>
    <xf numFmtId="0" fontId="29" fillId="0" borderId="1" xfId="0" applyFont="1" applyFill="1" applyBorder="1" applyAlignment="1">
      <alignment vertical="center"/>
    </xf>
    <xf numFmtId="0" fontId="24" fillId="0" borderId="1" xfId="0" applyFont="1" applyBorder="1" applyAlignment="1">
      <alignment vertical="center"/>
    </xf>
    <xf numFmtId="0" fontId="24" fillId="0" borderId="1" xfId="0" applyFont="1" applyBorder="1" applyAlignment="1">
      <alignment horizontal="left" vertical="center"/>
    </xf>
    <xf numFmtId="4" fontId="27" fillId="0" borderId="1" xfId="0" applyNumberFormat="1" applyFont="1" applyBorder="1" applyAlignment="1">
      <alignment vertical="center"/>
    </xf>
    <xf numFmtId="3" fontId="40" fillId="0" borderId="1" xfId="0" applyNumberFormat="1" applyFont="1" applyFill="1" applyBorder="1" applyAlignment="1">
      <alignment vertical="center"/>
    </xf>
    <xf numFmtId="10" fontId="27" fillId="0" borderId="1" xfId="23" applyNumberFormat="1" applyFont="1" applyFill="1" applyBorder="1" applyAlignment="1">
      <alignment vertical="center"/>
    </xf>
    <xf numFmtId="168" fontId="27" fillId="0" borderId="1" xfId="23" applyNumberFormat="1" applyFont="1" applyFill="1" applyBorder="1" applyAlignment="1">
      <alignment vertical="center"/>
    </xf>
    <xf numFmtId="0" fontId="34" fillId="0" borderId="1" xfId="0" applyFont="1" applyBorder="1" applyAlignment="1">
      <alignment horizontal="right" vertical="center"/>
    </xf>
    <xf numFmtId="0" fontId="14" fillId="0" borderId="1" xfId="0" applyFont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24" fillId="0" borderId="1" xfId="0" applyFont="1" applyBorder="1" applyAlignment="1">
      <alignment horizontal="left" vertical="center" wrapText="1" indent="2"/>
    </xf>
    <xf numFmtId="0" fontId="24" fillId="0" borderId="1" xfId="0" applyFont="1" applyBorder="1" applyAlignment="1">
      <alignment horizontal="left" vertical="center" indent="2"/>
    </xf>
    <xf numFmtId="0" fontId="35" fillId="0" borderId="1" xfId="0" applyFont="1" applyBorder="1" applyAlignment="1">
      <alignment vertical="center"/>
    </xf>
    <xf numFmtId="0" fontId="24" fillId="0" borderId="1" xfId="0" applyFont="1" applyFill="1" applyBorder="1" applyAlignment="1">
      <alignment horizontal="center" vertical="center"/>
    </xf>
    <xf numFmtId="3" fontId="27" fillId="0" borderId="1" xfId="0" applyNumberFormat="1" applyFont="1" applyFill="1" applyBorder="1" applyAlignment="1">
      <alignment horizontal="center" vertical="center"/>
    </xf>
    <xf numFmtId="3" fontId="27" fillId="0" borderId="1" xfId="0" applyNumberFormat="1" applyFont="1" applyFill="1" applyBorder="1" applyAlignment="1">
      <alignment horizontal="right" vertical="center"/>
    </xf>
    <xf numFmtId="0" fontId="24" fillId="0" borderId="1" xfId="0" applyFont="1" applyBorder="1" applyAlignment="1">
      <alignment horizontal="left" vertical="center" wrapText="1" indent="4"/>
    </xf>
    <xf numFmtId="3" fontId="24" fillId="0" borderId="1" xfId="0" applyNumberFormat="1" applyFont="1" applyBorder="1" applyAlignment="1">
      <alignment vertical="center"/>
    </xf>
    <xf numFmtId="3" fontId="24" fillId="0" borderId="1" xfId="0" applyNumberFormat="1" applyFont="1" applyFill="1" applyBorder="1" applyAlignment="1">
      <alignment vertical="center"/>
    </xf>
    <xf numFmtId="0" fontId="35" fillId="0" borderId="1" xfId="0" applyFont="1" applyBorder="1" applyAlignment="1">
      <alignment horizontal="left" vertical="center"/>
    </xf>
    <xf numFmtId="2" fontId="27" fillId="0" borderId="1" xfId="0" applyNumberFormat="1" applyFont="1" applyBorder="1" applyAlignment="1">
      <alignment vertical="center"/>
    </xf>
    <xf numFmtId="3" fontId="27" fillId="2" borderId="1" xfId="0" applyNumberFormat="1" applyFont="1" applyFill="1" applyBorder="1" applyAlignment="1">
      <alignment vertical="center"/>
    </xf>
    <xf numFmtId="0" fontId="14" fillId="0" borderId="1" xfId="0" applyFont="1" applyBorder="1" applyAlignment="1">
      <alignment horizontal="right" vertical="center"/>
    </xf>
    <xf numFmtId="0" fontId="34" fillId="0" borderId="1" xfId="0" applyFont="1" applyBorder="1" applyAlignment="1">
      <alignment horizontal="center" vertical="center" wrapText="1"/>
    </xf>
    <xf numFmtId="0" fontId="24" fillId="0" borderId="0" xfId="0" applyFont="1" applyFill="1"/>
    <xf numFmtId="0" fontId="24" fillId="0" borderId="0" xfId="0" applyFont="1" applyBorder="1" applyAlignment="1">
      <alignment horizontal="center" vertical="center"/>
    </xf>
    <xf numFmtId="0" fontId="24" fillId="0" borderId="1" xfId="0" applyFont="1" applyBorder="1"/>
    <xf numFmtId="0" fontId="24" fillId="0" borderId="1" xfId="0" applyFont="1" applyBorder="1" applyAlignment="1">
      <alignment horizontal="center"/>
    </xf>
    <xf numFmtId="0" fontId="42" fillId="0" borderId="1" xfId="0" applyFont="1" applyBorder="1" applyAlignment="1">
      <alignment horizontal="center"/>
    </xf>
    <xf numFmtId="4" fontId="14" fillId="0" borderId="1" xfId="0" applyNumberFormat="1" applyFont="1" applyFill="1" applyBorder="1" applyAlignment="1">
      <alignment vertical="center"/>
    </xf>
    <xf numFmtId="0" fontId="24" fillId="0" borderId="1" xfId="0" applyFont="1" applyBorder="1" applyAlignment="1">
      <alignment wrapText="1"/>
    </xf>
    <xf numFmtId="3" fontId="14" fillId="0" borderId="0" xfId="2" applyNumberFormat="1" applyFont="1" applyAlignment="1">
      <alignment horizontal="center"/>
    </xf>
    <xf numFmtId="3" fontId="14" fillId="0" borderId="1" xfId="2" applyNumberFormat="1" applyFont="1" applyBorder="1" applyAlignment="1">
      <alignment horizontal="center"/>
    </xf>
    <xf numFmtId="3" fontId="14" fillId="0" borderId="0" xfId="11" applyNumberFormat="1" applyFont="1" applyAlignment="1">
      <alignment horizontal="center"/>
    </xf>
    <xf numFmtId="3" fontId="14" fillId="0" borderId="1" xfId="11" applyNumberFormat="1" applyFont="1" applyBorder="1" applyAlignment="1">
      <alignment horizontal="center"/>
    </xf>
    <xf numFmtId="3" fontId="27" fillId="0" borderId="1" xfId="2" applyNumberFormat="1" applyFont="1" applyBorder="1" applyAlignment="1">
      <alignment horizontal="center"/>
    </xf>
    <xf numFmtId="3" fontId="27" fillId="0" borderId="0" xfId="2" applyNumberFormat="1" applyFont="1" applyBorder="1" applyAlignment="1">
      <alignment horizontal="center"/>
    </xf>
    <xf numFmtId="3" fontId="27" fillId="0" borderId="0" xfId="2" applyNumberFormat="1" applyFont="1" applyAlignment="1">
      <alignment horizontal="center"/>
    </xf>
    <xf numFmtId="3" fontId="27" fillId="0" borderId="0" xfId="11" applyNumberFormat="1" applyFont="1" applyAlignment="1">
      <alignment horizontal="center"/>
    </xf>
    <xf numFmtId="3" fontId="14" fillId="0" borderId="0" xfId="2" applyNumberFormat="1" applyFont="1" applyBorder="1" applyAlignment="1">
      <alignment horizontal="center"/>
    </xf>
    <xf numFmtId="0" fontId="37" fillId="0" borderId="0" xfId="7" applyFont="1" applyAlignment="1">
      <alignment wrapText="1"/>
    </xf>
    <xf numFmtId="0" fontId="37" fillId="0" borderId="0" xfId="7" applyFont="1"/>
    <xf numFmtId="0" fontId="37" fillId="0" borderId="0" xfId="7" applyFont="1" applyAlignment="1">
      <alignment horizontal="center"/>
    </xf>
    <xf numFmtId="3" fontId="14" fillId="0" borderId="0" xfId="0" applyNumberFormat="1" applyFont="1" applyAlignment="1">
      <alignment horizontal="center" vertical="center"/>
    </xf>
    <xf numFmtId="1" fontId="17" fillId="0" borderId="1" xfId="0" applyNumberFormat="1" applyFont="1" applyFill="1" applyBorder="1" applyAlignment="1">
      <alignment horizontal="center" vertical="center" wrapText="1"/>
    </xf>
    <xf numFmtId="1" fontId="14" fillId="0" borderId="1" xfId="11" applyNumberFormat="1" applyFont="1" applyBorder="1" applyAlignment="1">
      <alignment horizontal="center"/>
    </xf>
    <xf numFmtId="0" fontId="17" fillId="4" borderId="1" xfId="0" applyFont="1" applyFill="1" applyBorder="1" applyAlignment="1">
      <alignment vertical="center" wrapText="1"/>
    </xf>
    <xf numFmtId="0" fontId="17" fillId="4" borderId="1" xfId="0" applyFont="1" applyFill="1" applyBorder="1"/>
    <xf numFmtId="0" fontId="13" fillId="0" borderId="1" xfId="0" applyFont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1" fontId="14" fillId="0" borderId="1" xfId="0" applyNumberFormat="1" applyFont="1" applyFill="1" applyBorder="1" applyAlignment="1">
      <alignment horizontal="center" vertical="center" wrapText="1"/>
    </xf>
    <xf numFmtId="1" fontId="14" fillId="0" borderId="10" xfId="0" applyNumberFormat="1" applyFont="1" applyFill="1" applyBorder="1" applyAlignment="1">
      <alignment horizontal="center"/>
    </xf>
    <xf numFmtId="49" fontId="17" fillId="0" borderId="1" xfId="0" applyNumberFormat="1" applyFont="1" applyFill="1" applyBorder="1" applyAlignment="1">
      <alignment vertical="center" wrapText="1"/>
    </xf>
    <xf numFmtId="49" fontId="13" fillId="2" borderId="1" xfId="0" applyNumberFormat="1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left"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3" fontId="17" fillId="0" borderId="1" xfId="0" applyNumberFormat="1" applyFont="1" applyFill="1" applyBorder="1" applyAlignment="1">
      <alignment vertical="center" wrapText="1"/>
    </xf>
    <xf numFmtId="0" fontId="17" fillId="0" borderId="1" xfId="0" applyFont="1" applyBorder="1" applyAlignment="1">
      <alignment wrapText="1"/>
    </xf>
    <xf numFmtId="3" fontId="17" fillId="0" borderId="1" xfId="0" applyNumberFormat="1" applyFont="1" applyFill="1" applyBorder="1" applyAlignment="1">
      <alignment horizontal="left" vertical="center" wrapText="1"/>
    </xf>
    <xf numFmtId="0" fontId="17" fillId="0" borderId="1" xfId="0" applyFont="1" applyBorder="1"/>
    <xf numFmtId="0" fontId="17" fillId="0" borderId="1" xfId="0" applyFont="1" applyFill="1" applyBorder="1" applyAlignment="1">
      <alignment wrapText="1"/>
    </xf>
    <xf numFmtId="3" fontId="14" fillId="0" borderId="5" xfId="2" applyNumberFormat="1" applyFont="1" applyFill="1" applyBorder="1" applyAlignment="1">
      <alignment horizontal="right" vertical="center"/>
    </xf>
    <xf numFmtId="9" fontId="13" fillId="0" borderId="1" xfId="2" applyNumberFormat="1" applyFont="1" applyBorder="1" applyAlignment="1">
      <alignment horizontal="center" vertical="center" wrapText="1"/>
    </xf>
    <xf numFmtId="0" fontId="28" fillId="0" borderId="1" xfId="2" applyFont="1" applyBorder="1"/>
    <xf numFmtId="3" fontId="27" fillId="0" borderId="1" xfId="0" applyNumberFormat="1" applyFont="1" applyBorder="1" applyAlignment="1">
      <alignment vertical="center"/>
    </xf>
    <xf numFmtId="1" fontId="14" fillId="0" borderId="1" xfId="0" applyNumberFormat="1" applyFont="1" applyFill="1" applyBorder="1" applyAlignment="1">
      <alignment horizontal="center"/>
    </xf>
    <xf numFmtId="3" fontId="14" fillId="0" borderId="1" xfId="0" applyNumberFormat="1" applyFont="1" applyFill="1" applyBorder="1" applyAlignment="1">
      <alignment horizontal="center" vertical="center"/>
    </xf>
    <xf numFmtId="3" fontId="14" fillId="0" borderId="0" xfId="0" applyNumberFormat="1" applyFont="1" applyAlignment="1">
      <alignment horizontal="center" vertical="center"/>
    </xf>
    <xf numFmtId="3" fontId="14" fillId="0" borderId="1" xfId="0" applyNumberFormat="1" applyFont="1" applyBorder="1" applyAlignment="1">
      <alignment horizontal="center" vertical="center"/>
    </xf>
    <xf numFmtId="3" fontId="14" fillId="0" borderId="1" xfId="0" applyNumberFormat="1" applyFont="1" applyBorder="1" applyAlignment="1">
      <alignment horizontal="center" vertical="center" wrapText="1"/>
    </xf>
    <xf numFmtId="0" fontId="19" fillId="0" borderId="0" xfId="2" applyFont="1" applyAlignment="1">
      <alignment horizontal="center"/>
    </xf>
    <xf numFmtId="0" fontId="25" fillId="0" borderId="1" xfId="2" applyFont="1" applyBorder="1" applyAlignment="1">
      <alignment horizontal="center"/>
    </xf>
    <xf numFmtId="0" fontId="28" fillId="0" borderId="1" xfId="2" applyFont="1" applyBorder="1" applyAlignment="1">
      <alignment horizontal="center" wrapText="1"/>
    </xf>
    <xf numFmtId="3" fontId="14" fillId="0" borderId="1" xfId="3" applyNumberFormat="1" applyFont="1" applyFill="1" applyBorder="1" applyAlignment="1">
      <alignment horizontal="center" vertical="center"/>
    </xf>
    <xf numFmtId="3" fontId="16" fillId="0" borderId="1" xfId="3" applyNumberFormat="1" applyFont="1" applyFill="1" applyBorder="1" applyAlignment="1">
      <alignment horizontal="center" vertical="center"/>
    </xf>
    <xf numFmtId="0" fontId="14" fillId="0" borderId="0" xfId="2" applyFont="1" applyFill="1" applyAlignment="1">
      <alignment horizontal="center" vertical="center"/>
    </xf>
    <xf numFmtId="3" fontId="14" fillId="0" borderId="0" xfId="2" applyNumberFormat="1" applyFont="1" applyAlignment="1">
      <alignment horizontal="center"/>
    </xf>
    <xf numFmtId="0" fontId="14" fillId="0" borderId="0" xfId="0" applyFont="1" applyAlignment="1">
      <alignment horizontal="center"/>
    </xf>
    <xf numFmtId="3" fontId="71" fillId="0" borderId="0" xfId="0" applyNumberFormat="1" applyFont="1" applyAlignment="1">
      <alignment horizontal="right"/>
    </xf>
    <xf numFmtId="0" fontId="17" fillId="0" borderId="5" xfId="0" applyFont="1" applyBorder="1" applyAlignment="1">
      <alignment wrapText="1"/>
    </xf>
    <xf numFmtId="0" fontId="13" fillId="0" borderId="1" xfId="2" applyFont="1" applyBorder="1" applyAlignment="1">
      <alignment horizontal="center" vertical="center" wrapText="1"/>
    </xf>
    <xf numFmtId="3" fontId="17" fillId="0" borderId="1" xfId="21" applyNumberFormat="1" applyFont="1" applyFill="1" applyBorder="1" applyAlignment="1">
      <alignment horizontal="center" vertical="center" wrapText="1"/>
    </xf>
    <xf numFmtId="1" fontId="17" fillId="0" borderId="2" xfId="0" applyNumberFormat="1" applyFont="1" applyFill="1" applyBorder="1" applyAlignment="1">
      <alignment horizontal="center" vertical="center" wrapText="1"/>
    </xf>
    <xf numFmtId="3" fontId="29" fillId="0" borderId="2" xfId="2" applyNumberFormat="1" applyFont="1" applyFill="1" applyBorder="1" applyAlignment="1">
      <alignment horizontal="right" vertical="center"/>
    </xf>
    <xf numFmtId="3" fontId="14" fillId="0" borderId="2" xfId="2" applyNumberFormat="1" applyFont="1" applyFill="1" applyBorder="1" applyAlignment="1">
      <alignment horizontal="right" vertical="center"/>
    </xf>
    <xf numFmtId="3" fontId="14" fillId="0" borderId="20" xfId="2" applyNumberFormat="1" applyFont="1" applyFill="1" applyBorder="1" applyAlignment="1">
      <alignment horizontal="right" vertical="center"/>
    </xf>
    <xf numFmtId="3" fontId="14" fillId="0" borderId="2" xfId="2" applyNumberFormat="1" applyFont="1" applyFill="1" applyBorder="1" applyAlignment="1">
      <alignment vertical="center"/>
    </xf>
    <xf numFmtId="3" fontId="38" fillId="0" borderId="1" xfId="6" applyNumberFormat="1" applyFont="1" applyFill="1" applyBorder="1" applyAlignment="1">
      <alignment horizontal="center" vertical="center"/>
    </xf>
    <xf numFmtId="0" fontId="14" fillId="0" borderId="1" xfId="2" applyFont="1" applyFill="1" applyBorder="1" applyAlignment="1">
      <alignment horizontal="center" vertical="center"/>
    </xf>
    <xf numFmtId="3" fontId="27" fillId="0" borderId="1" xfId="2" applyNumberFormat="1" applyFont="1" applyFill="1" applyBorder="1" applyAlignment="1">
      <alignment vertical="center"/>
    </xf>
    <xf numFmtId="0" fontId="27" fillId="0" borderId="0" xfId="2" applyFont="1" applyFill="1" applyAlignment="1">
      <alignment vertical="center"/>
    </xf>
    <xf numFmtId="3" fontId="14" fillId="0" borderId="1" xfId="6" applyNumberFormat="1" applyFont="1" applyFill="1" applyBorder="1" applyAlignment="1">
      <alignment horizontal="center" vertical="center"/>
    </xf>
    <xf numFmtId="3" fontId="27" fillId="0" borderId="1" xfId="2" applyNumberFormat="1" applyFont="1" applyFill="1" applyBorder="1" applyAlignment="1">
      <alignment horizontal="right" vertical="center"/>
    </xf>
    <xf numFmtId="0" fontId="27" fillId="0" borderId="0" xfId="2" applyFont="1" applyFill="1" applyAlignment="1">
      <alignment horizontal="left" vertical="center"/>
    </xf>
    <xf numFmtId="0" fontId="27" fillId="0" borderId="1" xfId="2" applyFont="1" applyFill="1" applyBorder="1" applyAlignment="1">
      <alignment horizontal="left" vertical="center" wrapText="1"/>
    </xf>
    <xf numFmtId="3" fontId="13" fillId="0" borderId="1" xfId="6" applyNumberFormat="1" applyFont="1" applyFill="1" applyBorder="1" applyAlignment="1">
      <alignment horizontal="center" vertical="center"/>
    </xf>
    <xf numFmtId="0" fontId="27" fillId="0" borderId="0" xfId="2" applyFont="1" applyFill="1" applyBorder="1" applyAlignment="1">
      <alignment vertical="center"/>
    </xf>
    <xf numFmtId="3" fontId="14" fillId="0" borderId="1" xfId="2" applyNumberFormat="1" applyFont="1" applyFill="1" applyBorder="1" applyAlignment="1">
      <alignment horizontal="right" vertical="center"/>
    </xf>
    <xf numFmtId="3" fontId="27" fillId="0" borderId="1" xfId="2" applyNumberFormat="1" applyFont="1" applyFill="1" applyBorder="1" applyAlignment="1">
      <alignment horizontal="center" vertical="center"/>
    </xf>
    <xf numFmtId="3" fontId="13" fillId="0" borderId="1" xfId="6" applyNumberFormat="1" applyFont="1" applyFill="1" applyBorder="1" applyAlignment="1">
      <alignment horizontal="left" vertical="center" wrapText="1"/>
    </xf>
    <xf numFmtId="3" fontId="27" fillId="0" borderId="2" xfId="2" applyNumberFormat="1" applyFont="1" applyFill="1" applyBorder="1" applyAlignment="1">
      <alignment horizontal="right" vertical="center"/>
    </xf>
    <xf numFmtId="3" fontId="27" fillId="0" borderId="2" xfId="2" applyNumberFormat="1" applyFont="1" applyFill="1" applyBorder="1" applyAlignment="1">
      <alignment vertical="center"/>
    </xf>
    <xf numFmtId="3" fontId="14" fillId="0" borderId="2" xfId="2" applyNumberFormat="1" applyFont="1" applyFill="1" applyBorder="1" applyAlignment="1">
      <alignment horizontal="right" vertical="center"/>
    </xf>
    <xf numFmtId="3" fontId="14" fillId="0" borderId="2" xfId="2" applyNumberFormat="1" applyFont="1" applyFill="1" applyBorder="1" applyAlignment="1">
      <alignment vertical="center"/>
    </xf>
    <xf numFmtId="3" fontId="31" fillId="0" borderId="0" xfId="143" applyNumberFormat="1" applyFont="1" applyAlignment="1"/>
    <xf numFmtId="3" fontId="31" fillId="0" borderId="0" xfId="143" applyNumberFormat="1" applyFont="1"/>
    <xf numFmtId="3" fontId="27" fillId="0" borderId="1" xfId="143" applyNumberFormat="1" applyFont="1" applyBorder="1" applyAlignment="1">
      <alignment horizontal="center" vertical="center" wrapText="1"/>
    </xf>
    <xf numFmtId="3" fontId="31" fillId="0" borderId="1" xfId="143" applyNumberFormat="1" applyFont="1" applyBorder="1" applyAlignment="1">
      <alignment horizontal="center" vertical="center" wrapText="1"/>
    </xf>
    <xf numFmtId="3" fontId="27" fillId="4" borderId="1" xfId="143" applyNumberFormat="1" applyFont="1" applyFill="1" applyBorder="1" applyAlignment="1">
      <alignment horizontal="center" vertical="center" wrapText="1"/>
    </xf>
    <xf numFmtId="3" fontId="14" fillId="0" borderId="1" xfId="144" applyNumberFormat="1" applyFont="1" applyBorder="1"/>
    <xf numFmtId="3" fontId="31" fillId="0" borderId="1" xfId="143" applyNumberFormat="1" applyFont="1" applyBorder="1"/>
    <xf numFmtId="3" fontId="31" fillId="0" borderId="1" xfId="143" applyNumberFormat="1" applyFont="1" applyFill="1" applyBorder="1" applyAlignment="1">
      <alignment vertical="center" wrapText="1"/>
    </xf>
    <xf numFmtId="3" fontId="31" fillId="4" borderId="1" xfId="143" applyNumberFormat="1" applyFont="1" applyFill="1" applyBorder="1"/>
    <xf numFmtId="3" fontId="14" fillId="0" borderId="1" xfId="144" applyNumberFormat="1" applyFont="1" applyFill="1" applyBorder="1" applyAlignment="1">
      <alignment vertical="center" wrapText="1"/>
    </xf>
    <xf numFmtId="3" fontId="14" fillId="0" borderId="1" xfId="144" applyNumberFormat="1" applyFont="1" applyFill="1" applyBorder="1"/>
    <xf numFmtId="3" fontId="14" fillId="0" borderId="1" xfId="144" applyNumberFormat="1" applyFont="1" applyBorder="1" applyAlignment="1">
      <alignment vertical="center" wrapText="1"/>
    </xf>
    <xf numFmtId="3" fontId="32" fillId="0" borderId="1" xfId="143" applyNumberFormat="1" applyFont="1" applyBorder="1"/>
    <xf numFmtId="3" fontId="32" fillId="0" borderId="0" xfId="143" applyNumberFormat="1" applyFont="1"/>
    <xf numFmtId="3" fontId="32" fillId="0" borderId="0" xfId="143" applyNumberFormat="1" applyFont="1" applyFill="1" applyBorder="1" applyAlignment="1">
      <alignment vertical="center" wrapText="1"/>
    </xf>
    <xf numFmtId="3" fontId="32" fillId="0" borderId="0" xfId="143" applyNumberFormat="1" applyFont="1" applyAlignment="1">
      <alignment horizontal="center"/>
    </xf>
    <xf numFmtId="3" fontId="32" fillId="4" borderId="1" xfId="143" applyNumberFormat="1" applyFont="1" applyFill="1" applyBorder="1"/>
    <xf numFmtId="3" fontId="31" fillId="0" borderId="0" xfId="143" applyNumberFormat="1" applyFont="1" applyBorder="1"/>
    <xf numFmtId="3" fontId="27" fillId="0" borderId="1" xfId="0" applyNumberFormat="1" applyFont="1" applyBorder="1" applyAlignment="1">
      <alignment vertical="center"/>
    </xf>
    <xf numFmtId="0" fontId="25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3" fontId="27" fillId="0" borderId="1" xfId="0" applyNumberFormat="1" applyFont="1" applyBorder="1" applyAlignment="1">
      <alignment horizontal="center"/>
    </xf>
    <xf numFmtId="3" fontId="14" fillId="0" borderId="1" xfId="0" applyNumberFormat="1" applyFont="1" applyBorder="1" applyAlignment="1">
      <alignment horizontal="center"/>
    </xf>
    <xf numFmtId="3" fontId="14" fillId="0" borderId="0" xfId="0" applyNumberFormat="1" applyFont="1" applyAlignment="1">
      <alignment horizontal="center"/>
    </xf>
    <xf numFmtId="3" fontId="18" fillId="0" borderId="0" xfId="1" applyNumberFormat="1" applyFont="1" applyBorder="1" applyAlignment="1">
      <alignment horizontal="center" vertical="center"/>
    </xf>
    <xf numFmtId="1" fontId="14" fillId="0" borderId="1" xfId="0" applyNumberFormat="1" applyFont="1" applyFill="1" applyBorder="1" applyAlignment="1">
      <alignment horizontal="center"/>
    </xf>
    <xf numFmtId="3" fontId="14" fillId="0" borderId="1" xfId="0" applyNumberFormat="1" applyFont="1" applyFill="1" applyBorder="1" applyAlignment="1">
      <alignment horizontal="center" vertical="center"/>
    </xf>
    <xf numFmtId="3" fontId="14" fillId="0" borderId="1" xfId="143" applyNumberFormat="1" applyFont="1" applyBorder="1" applyAlignment="1">
      <alignment horizontal="center" vertical="center"/>
    </xf>
    <xf numFmtId="3" fontId="14" fillId="0" borderId="1" xfId="143" applyNumberFormat="1" applyFont="1" applyBorder="1" applyAlignment="1">
      <alignment horizontal="center" vertical="center" wrapText="1"/>
    </xf>
    <xf numFmtId="3" fontId="32" fillId="0" borderId="0" xfId="143" applyNumberFormat="1" applyFont="1" applyAlignment="1">
      <alignment horizontal="center"/>
    </xf>
    <xf numFmtId="3" fontId="18" fillId="0" borderId="0" xfId="1" applyNumberFormat="1" applyFont="1" applyBorder="1" applyAlignment="1">
      <alignment horizontal="center" vertical="center" wrapText="1"/>
    </xf>
    <xf numFmtId="3" fontId="14" fillId="0" borderId="2" xfId="0" applyNumberFormat="1" applyFont="1" applyBorder="1" applyAlignment="1">
      <alignment horizontal="center" wrapText="1"/>
    </xf>
    <xf numFmtId="3" fontId="14" fillId="0" borderId="3" xfId="0" applyNumberFormat="1" applyFont="1" applyBorder="1" applyAlignment="1">
      <alignment horizontal="center" wrapText="1"/>
    </xf>
    <xf numFmtId="3" fontId="14" fillId="0" borderId="4" xfId="0" applyNumberFormat="1" applyFont="1" applyBorder="1" applyAlignment="1">
      <alignment horizontal="center" wrapText="1"/>
    </xf>
    <xf numFmtId="3" fontId="27" fillId="0" borderId="2" xfId="0" applyNumberFormat="1" applyFont="1" applyBorder="1" applyAlignment="1">
      <alignment horizontal="center" wrapText="1"/>
    </xf>
    <xf numFmtId="3" fontId="27" fillId="0" borderId="3" xfId="0" applyNumberFormat="1" applyFont="1" applyBorder="1" applyAlignment="1">
      <alignment horizontal="center" wrapText="1"/>
    </xf>
    <xf numFmtId="3" fontId="27" fillId="0" borderId="4" xfId="0" applyNumberFormat="1" applyFont="1" applyBorder="1" applyAlignment="1">
      <alignment horizontal="center" wrapText="1"/>
    </xf>
    <xf numFmtId="3" fontId="14" fillId="0" borderId="0" xfId="12" applyNumberFormat="1" applyFont="1" applyAlignment="1">
      <alignment horizontal="center"/>
    </xf>
    <xf numFmtId="3" fontId="43" fillId="0" borderId="9" xfId="12" applyNumberFormat="1" applyFont="1" applyBorder="1" applyAlignment="1">
      <alignment horizontal="center" vertical="center" wrapText="1"/>
    </xf>
    <xf numFmtId="3" fontId="14" fillId="6" borderId="5" xfId="12" applyNumberFormat="1" applyFont="1" applyFill="1" applyBorder="1" applyAlignment="1">
      <alignment horizontal="center" vertical="center" wrapText="1"/>
    </xf>
    <xf numFmtId="3" fontId="14" fillId="6" borderId="7" xfId="12" applyNumberFormat="1" applyFont="1" applyFill="1" applyBorder="1" applyAlignment="1">
      <alignment horizontal="center" vertical="center" wrapText="1"/>
    </xf>
    <xf numFmtId="3" fontId="14" fillId="6" borderId="6" xfId="12" applyNumberFormat="1" applyFont="1" applyFill="1" applyBorder="1" applyAlignment="1">
      <alignment horizontal="center" vertical="center" wrapText="1"/>
    </xf>
    <xf numFmtId="3" fontId="43" fillId="7" borderId="2" xfId="12" applyNumberFormat="1" applyFont="1" applyFill="1" applyBorder="1" applyAlignment="1">
      <alignment horizontal="center"/>
    </xf>
    <xf numFmtId="3" fontId="43" fillId="7" borderId="3" xfId="12" applyNumberFormat="1" applyFont="1" applyFill="1" applyBorder="1" applyAlignment="1">
      <alignment horizontal="center"/>
    </xf>
    <xf numFmtId="3" fontId="43" fillId="7" borderId="4" xfId="12" applyNumberFormat="1" applyFont="1" applyFill="1" applyBorder="1" applyAlignment="1">
      <alignment horizontal="center"/>
    </xf>
    <xf numFmtId="3" fontId="14" fillId="7" borderId="1" xfId="12" applyNumberFormat="1" applyFont="1" applyFill="1" applyBorder="1" applyAlignment="1">
      <alignment horizontal="center" vertical="center" wrapText="1"/>
    </xf>
    <xf numFmtId="0" fontId="15" fillId="7" borderId="1" xfId="13" applyFont="1" applyFill="1" applyBorder="1" applyAlignment="1">
      <alignment horizontal="center" vertical="center" wrapText="1"/>
    </xf>
    <xf numFmtId="3" fontId="14" fillId="3" borderId="2" xfId="12" applyNumberFormat="1" applyFont="1" applyFill="1" applyBorder="1" applyAlignment="1">
      <alignment horizontal="center"/>
    </xf>
    <xf numFmtId="3" fontId="14" fillId="3" borderId="3" xfId="12" applyNumberFormat="1" applyFont="1" applyFill="1" applyBorder="1" applyAlignment="1">
      <alignment horizontal="center"/>
    </xf>
    <xf numFmtId="3" fontId="14" fillId="3" borderId="4" xfId="12" applyNumberFormat="1" applyFont="1" applyFill="1" applyBorder="1" applyAlignment="1">
      <alignment horizontal="center"/>
    </xf>
    <xf numFmtId="3" fontId="14" fillId="3" borderId="1" xfId="12" applyNumberFormat="1" applyFont="1" applyFill="1" applyBorder="1" applyAlignment="1">
      <alignment horizontal="center"/>
    </xf>
    <xf numFmtId="3" fontId="43" fillId="7" borderId="1" xfId="12" applyNumberFormat="1" applyFont="1" applyFill="1" applyBorder="1" applyAlignment="1">
      <alignment horizontal="center"/>
    </xf>
    <xf numFmtId="3" fontId="14" fillId="0" borderId="0" xfId="0" applyNumberFormat="1" applyFont="1" applyAlignment="1">
      <alignment horizontal="center" vertical="center"/>
    </xf>
    <xf numFmtId="3" fontId="13" fillId="0" borderId="1" xfId="0" applyNumberFormat="1" applyFont="1" applyBorder="1" applyAlignment="1">
      <alignment horizontal="center" vertical="center" wrapText="1"/>
    </xf>
    <xf numFmtId="3" fontId="14" fillId="0" borderId="1" xfId="0" applyNumberFormat="1" applyFont="1" applyFill="1" applyBorder="1" applyAlignment="1">
      <alignment horizontal="center"/>
    </xf>
    <xf numFmtId="3" fontId="25" fillId="0" borderId="1" xfId="1" applyNumberFormat="1" applyFont="1" applyBorder="1" applyAlignment="1">
      <alignment horizontal="center" vertical="center" wrapText="1"/>
    </xf>
    <xf numFmtId="3" fontId="16" fillId="0" borderId="2" xfId="0" applyNumberFormat="1" applyFont="1" applyBorder="1" applyAlignment="1">
      <alignment horizontal="center" vertical="center" wrapText="1"/>
    </xf>
    <xf numFmtId="3" fontId="16" fillId="0" borderId="3" xfId="0" applyNumberFormat="1" applyFont="1" applyBorder="1" applyAlignment="1">
      <alignment horizontal="center" vertical="center" wrapText="1"/>
    </xf>
    <xf numFmtId="3" fontId="16" fillId="0" borderId="4" xfId="0" applyNumberFormat="1" applyFont="1" applyBorder="1" applyAlignment="1">
      <alignment horizontal="center" vertical="center" wrapText="1"/>
    </xf>
    <xf numFmtId="3" fontId="18" fillId="0" borderId="2" xfId="0" applyNumberFormat="1" applyFont="1" applyBorder="1" applyAlignment="1">
      <alignment horizontal="center" vertical="center" wrapText="1"/>
    </xf>
    <xf numFmtId="3" fontId="18" fillId="0" borderId="3" xfId="0" applyNumberFormat="1" applyFont="1" applyBorder="1" applyAlignment="1">
      <alignment horizontal="center" vertical="center" wrapText="1"/>
    </xf>
    <xf numFmtId="3" fontId="18" fillId="0" borderId="4" xfId="0" applyNumberFormat="1" applyFont="1" applyBorder="1" applyAlignment="1">
      <alignment horizontal="center" vertical="center" wrapText="1"/>
    </xf>
    <xf numFmtId="3" fontId="16" fillId="0" borderId="2" xfId="0" applyNumberFormat="1" applyFont="1" applyBorder="1" applyAlignment="1">
      <alignment horizontal="center" vertical="center"/>
    </xf>
    <xf numFmtId="3" fontId="16" fillId="0" borderId="3" xfId="0" applyNumberFormat="1" applyFont="1" applyBorder="1" applyAlignment="1">
      <alignment horizontal="center" vertical="center"/>
    </xf>
    <xf numFmtId="3" fontId="16" fillId="0" borderId="4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3" fontId="14" fillId="0" borderId="2" xfId="0" applyNumberFormat="1" applyFont="1" applyBorder="1" applyAlignment="1">
      <alignment horizontal="center" vertical="center" wrapText="1"/>
    </xf>
    <xf numFmtId="3" fontId="14" fillId="0" borderId="3" xfId="0" applyNumberFormat="1" applyFont="1" applyBorder="1" applyAlignment="1">
      <alignment horizontal="center" vertical="center" wrapText="1"/>
    </xf>
    <xf numFmtId="3" fontId="14" fillId="0" borderId="4" xfId="0" applyNumberFormat="1" applyFont="1" applyBorder="1" applyAlignment="1">
      <alignment horizontal="center" vertical="center" wrapText="1"/>
    </xf>
    <xf numFmtId="3" fontId="17" fillId="0" borderId="2" xfId="0" applyNumberFormat="1" applyFont="1" applyBorder="1" applyAlignment="1">
      <alignment horizontal="center" vertical="center"/>
    </xf>
    <xf numFmtId="3" fontId="17" fillId="0" borderId="3" xfId="0" applyNumberFormat="1" applyFont="1" applyBorder="1" applyAlignment="1">
      <alignment horizontal="center" vertical="center"/>
    </xf>
    <xf numFmtId="3" fontId="14" fillId="0" borderId="3" xfId="0" applyNumberFormat="1" applyFont="1" applyBorder="1" applyAlignment="1">
      <alignment horizontal="center" vertical="center"/>
    </xf>
    <xf numFmtId="3" fontId="14" fillId="0" borderId="4" xfId="0" applyNumberFormat="1" applyFont="1" applyBorder="1" applyAlignment="1">
      <alignment horizontal="center" vertical="center"/>
    </xf>
    <xf numFmtId="0" fontId="36" fillId="0" borderId="0" xfId="0" applyFont="1" applyAlignment="1">
      <alignment horizontal="center" vertical="center"/>
    </xf>
    <xf numFmtId="3" fontId="14" fillId="0" borderId="2" xfId="0" applyNumberFormat="1" applyFont="1" applyBorder="1" applyAlignment="1">
      <alignment horizontal="center" vertical="center"/>
    </xf>
    <xf numFmtId="0" fontId="28" fillId="0" borderId="0" xfId="2" applyFont="1" applyAlignment="1">
      <alignment horizontal="center"/>
    </xf>
    <xf numFmtId="3" fontId="28" fillId="0" borderId="2" xfId="2" applyNumberFormat="1" applyFont="1" applyFill="1" applyBorder="1" applyAlignment="1">
      <alignment horizontal="center"/>
    </xf>
    <xf numFmtId="3" fontId="28" fillId="0" borderId="4" xfId="2" applyNumberFormat="1" applyFont="1" applyFill="1" applyBorder="1" applyAlignment="1">
      <alignment horizontal="center"/>
    </xf>
    <xf numFmtId="0" fontId="19" fillId="0" borderId="0" xfId="2" applyFont="1" applyAlignment="1">
      <alignment horizontal="center"/>
    </xf>
    <xf numFmtId="0" fontId="28" fillId="0" borderId="1" xfId="2" applyFont="1" applyBorder="1" applyAlignment="1">
      <alignment horizontal="center" vertical="center"/>
    </xf>
    <xf numFmtId="0" fontId="17" fillId="0" borderId="1" xfId="2" applyFont="1" applyBorder="1" applyAlignment="1">
      <alignment horizontal="center" vertical="center" wrapText="1"/>
    </xf>
    <xf numFmtId="0" fontId="3" fillId="0" borderId="1" xfId="47" applyBorder="1" applyAlignment="1">
      <alignment horizontal="center" vertical="center"/>
    </xf>
    <xf numFmtId="0" fontId="35" fillId="0" borderId="1" xfId="2" applyFont="1" applyBorder="1" applyAlignment="1">
      <alignment horizontal="center" wrapText="1"/>
    </xf>
    <xf numFmtId="0" fontId="28" fillId="0" borderId="1" xfId="2" applyFont="1" applyBorder="1" applyAlignment="1">
      <alignment horizontal="center" wrapText="1"/>
    </xf>
    <xf numFmtId="0" fontId="28" fillId="0" borderId="1" xfId="2" applyFont="1" applyBorder="1" applyAlignment="1">
      <alignment horizontal="center"/>
    </xf>
    <xf numFmtId="0" fontId="24" fillId="0" borderId="1" xfId="2" applyFont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34" fillId="0" borderId="1" xfId="48" applyFont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 wrapText="1"/>
    </xf>
    <xf numFmtId="0" fontId="13" fillId="0" borderId="3" xfId="2" applyFont="1" applyBorder="1" applyAlignment="1">
      <alignment horizontal="center" vertical="center" wrapText="1"/>
    </xf>
    <xf numFmtId="0" fontId="13" fillId="0" borderId="4" xfId="2" applyFont="1" applyBorder="1" applyAlignment="1">
      <alignment horizontal="center" vertical="center" wrapText="1"/>
    </xf>
    <xf numFmtId="0" fontId="14" fillId="0" borderId="2" xfId="2" applyFont="1" applyFill="1" applyBorder="1" applyAlignment="1">
      <alignment horizontal="center" vertical="center"/>
    </xf>
    <xf numFmtId="0" fontId="14" fillId="0" borderId="3" xfId="2" applyFont="1" applyFill="1" applyBorder="1" applyAlignment="1">
      <alignment horizontal="center" vertical="center"/>
    </xf>
    <xf numFmtId="0" fontId="14" fillId="0" borderId="4" xfId="2" applyFont="1" applyFill="1" applyBorder="1" applyAlignment="1">
      <alignment horizontal="center" vertical="center"/>
    </xf>
    <xf numFmtId="3" fontId="36" fillId="0" borderId="2" xfId="2" applyNumberFormat="1" applyFont="1" applyFill="1" applyBorder="1" applyAlignment="1">
      <alignment horizontal="center" vertical="center"/>
    </xf>
    <xf numFmtId="3" fontId="36" fillId="0" borderId="3" xfId="2" applyNumberFormat="1" applyFont="1" applyFill="1" applyBorder="1" applyAlignment="1">
      <alignment horizontal="center" vertical="center"/>
    </xf>
    <xf numFmtId="3" fontId="36" fillId="0" borderId="4" xfId="2" applyNumberFormat="1" applyFont="1" applyFill="1" applyBorder="1" applyAlignment="1">
      <alignment horizontal="center" vertical="center"/>
    </xf>
    <xf numFmtId="49" fontId="14" fillId="0" borderId="0" xfId="3" applyNumberFormat="1" applyFont="1" applyFill="1" applyBorder="1" applyAlignment="1">
      <alignment horizontal="center" vertical="center"/>
    </xf>
    <xf numFmtId="3" fontId="38" fillId="0" borderId="2" xfId="3" applyNumberFormat="1" applyFont="1" applyFill="1" applyBorder="1" applyAlignment="1">
      <alignment horizontal="center" vertical="center"/>
    </xf>
    <xf numFmtId="3" fontId="38" fillId="0" borderId="3" xfId="3" applyNumberFormat="1" applyFont="1" applyFill="1" applyBorder="1" applyAlignment="1">
      <alignment horizontal="center" vertical="center"/>
    </xf>
    <xf numFmtId="3" fontId="38" fillId="0" borderId="4" xfId="3" applyNumberFormat="1" applyFont="1" applyFill="1" applyBorder="1" applyAlignment="1">
      <alignment horizontal="center" vertical="center"/>
    </xf>
    <xf numFmtId="3" fontId="17" fillId="0" borderId="2" xfId="3" applyNumberFormat="1" applyFont="1" applyFill="1" applyBorder="1" applyAlignment="1">
      <alignment horizontal="center" vertical="center"/>
    </xf>
    <xf numFmtId="3" fontId="17" fillId="0" borderId="3" xfId="3" applyNumberFormat="1" applyFont="1" applyFill="1" applyBorder="1" applyAlignment="1">
      <alignment horizontal="center" vertical="center"/>
    </xf>
    <xf numFmtId="3" fontId="17" fillId="0" borderId="4" xfId="3" applyNumberFormat="1" applyFont="1" applyFill="1" applyBorder="1" applyAlignment="1">
      <alignment horizontal="center" vertical="center"/>
    </xf>
    <xf numFmtId="3" fontId="14" fillId="0" borderId="1" xfId="3" applyNumberFormat="1" applyFont="1" applyFill="1" applyBorder="1" applyAlignment="1">
      <alignment horizontal="left" vertical="center" wrapText="1"/>
    </xf>
    <xf numFmtId="3" fontId="14" fillId="0" borderId="0" xfId="3" applyNumberFormat="1" applyFont="1" applyFill="1" applyAlignment="1">
      <alignment horizontal="center" vertical="center"/>
    </xf>
    <xf numFmtId="3" fontId="16" fillId="0" borderId="0" xfId="3" applyNumberFormat="1" applyFont="1" applyFill="1" applyAlignment="1">
      <alignment horizontal="center" vertical="center"/>
    </xf>
    <xf numFmtId="3" fontId="27" fillId="0" borderId="0" xfId="3" applyNumberFormat="1" applyFont="1" applyFill="1" applyAlignment="1">
      <alignment horizontal="center" vertical="center"/>
    </xf>
    <xf numFmtId="3" fontId="14" fillId="0" borderId="1" xfId="3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3" fontId="16" fillId="0" borderId="1" xfId="3" applyNumberFormat="1" applyFont="1" applyFill="1" applyBorder="1" applyAlignment="1">
      <alignment horizontal="center" vertical="center"/>
    </xf>
    <xf numFmtId="3" fontId="14" fillId="0" borderId="0" xfId="3" applyNumberFormat="1" applyFont="1" applyFill="1" applyBorder="1" applyAlignment="1">
      <alignment horizontal="center" vertical="center"/>
    </xf>
    <xf numFmtId="3" fontId="16" fillId="0" borderId="0" xfId="3" applyNumberFormat="1" applyFont="1" applyFill="1" applyBorder="1" applyAlignment="1">
      <alignment horizontal="center" vertical="center"/>
    </xf>
    <xf numFmtId="3" fontId="27" fillId="0" borderId="0" xfId="3" applyNumberFormat="1" applyFont="1" applyFill="1" applyBorder="1" applyAlignment="1">
      <alignment horizontal="center" vertical="center"/>
    </xf>
    <xf numFmtId="0" fontId="17" fillId="0" borderId="5" xfId="21" applyFont="1" applyFill="1" applyBorder="1" applyAlignment="1">
      <alignment horizontal="center" vertical="center" wrapText="1"/>
    </xf>
    <xf numFmtId="0" fontId="17" fillId="0" borderId="6" xfId="21" applyFont="1" applyFill="1" applyBorder="1" applyAlignment="1">
      <alignment horizontal="center" vertical="center" wrapText="1"/>
    </xf>
    <xf numFmtId="3" fontId="17" fillId="0" borderId="2" xfId="21" applyNumberFormat="1" applyFont="1" applyFill="1" applyBorder="1" applyAlignment="1">
      <alignment horizontal="center" vertical="center" wrapText="1"/>
    </xf>
    <xf numFmtId="3" fontId="17" fillId="0" borderId="3" xfId="21" applyNumberFormat="1" applyFont="1" applyFill="1" applyBorder="1" applyAlignment="1">
      <alignment horizontal="center" vertical="center" wrapText="1"/>
    </xf>
    <xf numFmtId="3" fontId="17" fillId="0" borderId="4" xfId="21" applyNumberFormat="1" applyFont="1" applyFill="1" applyBorder="1" applyAlignment="1">
      <alignment horizontal="center" vertical="center" wrapText="1"/>
    </xf>
    <xf numFmtId="0" fontId="36" fillId="0" borderId="0" xfId="21" applyFont="1" applyFill="1" applyAlignment="1">
      <alignment horizontal="center" vertical="center" wrapText="1"/>
    </xf>
    <xf numFmtId="3" fontId="38" fillId="0" borderId="2" xfId="6" applyNumberFormat="1" applyFont="1" applyFill="1" applyBorder="1" applyAlignment="1">
      <alignment horizontal="center" vertical="center"/>
    </xf>
    <xf numFmtId="3" fontId="38" fillId="0" borderId="3" xfId="6" applyNumberFormat="1" applyFont="1" applyFill="1" applyBorder="1" applyAlignment="1">
      <alignment horizontal="center" vertical="center"/>
    </xf>
    <xf numFmtId="3" fontId="38" fillId="0" borderId="4" xfId="6" applyNumberFormat="1" applyFont="1" applyFill="1" applyBorder="1" applyAlignment="1">
      <alignment horizontal="center" vertical="center"/>
    </xf>
    <xf numFmtId="3" fontId="16" fillId="0" borderId="0" xfId="2" applyNumberFormat="1" applyFont="1" applyFill="1" applyBorder="1" applyAlignment="1">
      <alignment horizontal="center" vertical="center"/>
    </xf>
    <xf numFmtId="0" fontId="27" fillId="0" borderId="0" xfId="2" applyFont="1" applyFill="1" applyBorder="1" applyAlignment="1">
      <alignment horizontal="center" vertical="center"/>
    </xf>
    <xf numFmtId="0" fontId="14" fillId="0" borderId="0" xfId="2" applyFont="1" applyFill="1" applyAlignment="1">
      <alignment horizontal="center" vertical="center"/>
    </xf>
    <xf numFmtId="3" fontId="14" fillId="0" borderId="1" xfId="2" applyNumberFormat="1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horizontal="center" vertical="center"/>
    </xf>
    <xf numFmtId="0" fontId="18" fillId="0" borderId="0" xfId="2" applyFont="1" applyFill="1" applyBorder="1" applyAlignment="1">
      <alignment horizontal="center" vertical="center"/>
    </xf>
    <xf numFmtId="3" fontId="16" fillId="0" borderId="2" xfId="2" applyNumberFormat="1" applyFont="1" applyFill="1" applyBorder="1" applyAlignment="1">
      <alignment horizontal="center" vertical="center"/>
    </xf>
    <xf numFmtId="3" fontId="16" fillId="0" borderId="3" xfId="2" applyNumberFormat="1" applyFont="1" applyFill="1" applyBorder="1" applyAlignment="1">
      <alignment horizontal="center" vertical="center"/>
    </xf>
    <xf numFmtId="3" fontId="16" fillId="0" borderId="4" xfId="2" applyNumberFormat="1" applyFont="1" applyFill="1" applyBorder="1" applyAlignment="1">
      <alignment horizontal="center" vertical="center"/>
    </xf>
    <xf numFmtId="3" fontId="14" fillId="0" borderId="5" xfId="2" applyNumberFormat="1" applyFont="1" applyFill="1" applyBorder="1" applyAlignment="1">
      <alignment horizontal="center" vertical="center"/>
    </xf>
    <xf numFmtId="3" fontId="14" fillId="0" borderId="1" xfId="2" applyNumberFormat="1" applyFont="1" applyBorder="1" applyAlignment="1">
      <alignment horizontal="left" vertical="center"/>
    </xf>
    <xf numFmtId="3" fontId="14" fillId="0" borderId="0" xfId="2" applyNumberFormat="1" applyFont="1" applyAlignment="1">
      <alignment horizontal="center"/>
    </xf>
    <xf numFmtId="3" fontId="14" fillId="0" borderId="1" xfId="2" applyNumberFormat="1" applyFont="1" applyBorder="1" applyAlignment="1">
      <alignment horizontal="center"/>
    </xf>
    <xf numFmtId="3" fontId="25" fillId="0" borderId="0" xfId="2" applyNumberFormat="1" applyFont="1" applyAlignment="1">
      <alignment horizontal="center"/>
    </xf>
    <xf numFmtId="0" fontId="18" fillId="0" borderId="0" xfId="2" applyFont="1" applyAlignment="1">
      <alignment horizontal="center"/>
    </xf>
    <xf numFmtId="0" fontId="36" fillId="0" borderId="1" xfId="2" applyFont="1" applyBorder="1" applyAlignment="1">
      <alignment horizontal="center" vertical="center"/>
    </xf>
    <xf numFmtId="0" fontId="36" fillId="0" borderId="1" xfId="2" applyFont="1" applyBorder="1" applyAlignment="1">
      <alignment horizontal="center"/>
    </xf>
    <xf numFmtId="3" fontId="14" fillId="0" borderId="0" xfId="11" applyNumberFormat="1" applyFont="1" applyAlignment="1">
      <alignment horizontal="center"/>
    </xf>
    <xf numFmtId="3" fontId="14" fillId="0" borderId="1" xfId="11" applyNumberFormat="1" applyFont="1" applyBorder="1" applyAlignment="1">
      <alignment horizontal="center" vertical="center" wrapText="1"/>
    </xf>
    <xf numFmtId="3" fontId="14" fillId="0" borderId="1" xfId="11" applyNumberFormat="1" applyFont="1" applyBorder="1" applyAlignment="1">
      <alignment horizontal="center"/>
    </xf>
    <xf numFmtId="3" fontId="16" fillId="0" borderId="0" xfId="2" applyNumberFormat="1" applyFont="1" applyAlignment="1">
      <alignment horizontal="center"/>
    </xf>
    <xf numFmtId="3" fontId="27" fillId="0" borderId="1" xfId="2" applyNumberFormat="1" applyFont="1" applyBorder="1" applyAlignment="1">
      <alignment horizontal="center"/>
    </xf>
    <xf numFmtId="3" fontId="27" fillId="0" borderId="8" xfId="11" applyNumberFormat="1" applyFont="1" applyBorder="1" applyAlignment="1">
      <alignment horizontal="center"/>
    </xf>
    <xf numFmtId="3" fontId="27" fillId="0" borderId="0" xfId="11" applyNumberFormat="1" applyFont="1" applyAlignment="1">
      <alignment horizontal="center"/>
    </xf>
    <xf numFmtId="3" fontId="27" fillId="0" borderId="8" xfId="2" applyNumberFormat="1" applyFont="1" applyBorder="1" applyAlignment="1">
      <alignment horizontal="center"/>
    </xf>
    <xf numFmtId="3" fontId="27" fillId="0" borderId="0" xfId="2" applyNumberFormat="1" applyFont="1" applyBorder="1" applyAlignment="1">
      <alignment horizontal="center"/>
    </xf>
    <xf numFmtId="3" fontId="27" fillId="0" borderId="2" xfId="2" applyNumberFormat="1" applyFont="1" applyBorder="1" applyAlignment="1">
      <alignment horizontal="center"/>
    </xf>
    <xf numFmtId="3" fontId="27" fillId="0" borderId="4" xfId="2" applyNumberFormat="1" applyFont="1" applyBorder="1" applyAlignment="1">
      <alignment horizontal="center"/>
    </xf>
    <xf numFmtId="3" fontId="27" fillId="0" borderId="0" xfId="11" applyNumberFormat="1" applyFont="1" applyBorder="1" applyAlignment="1">
      <alignment horizontal="center"/>
    </xf>
    <xf numFmtId="3" fontId="14" fillId="0" borderId="2" xfId="2" applyNumberFormat="1" applyFont="1" applyBorder="1" applyAlignment="1">
      <alignment horizontal="center"/>
    </xf>
    <xf numFmtId="3" fontId="14" fillId="0" borderId="4" xfId="2" applyNumberFormat="1" applyFont="1" applyBorder="1" applyAlignment="1">
      <alignment horizontal="center"/>
    </xf>
    <xf numFmtId="3" fontId="27" fillId="0" borderId="5" xfId="2" applyNumberFormat="1" applyFont="1" applyBorder="1" applyAlignment="1">
      <alignment horizontal="left" vertical="center"/>
    </xf>
    <xf numFmtId="3" fontId="27" fillId="0" borderId="6" xfId="2" applyNumberFormat="1" applyFont="1" applyBorder="1" applyAlignment="1">
      <alignment horizontal="left" vertical="center"/>
    </xf>
    <xf numFmtId="3" fontId="27" fillId="0" borderId="2" xfId="2" applyNumberFormat="1" applyFont="1" applyBorder="1" applyAlignment="1">
      <alignment horizontal="center" wrapText="1"/>
    </xf>
    <xf numFmtId="3" fontId="70" fillId="0" borderId="4" xfId="2" applyNumberFormat="1" applyFont="1" applyBorder="1" applyAlignment="1">
      <alignment horizontal="center" wrapText="1"/>
    </xf>
    <xf numFmtId="3" fontId="27" fillId="0" borderId="3" xfId="2" applyNumberFormat="1" applyFont="1" applyBorder="1" applyAlignment="1">
      <alignment horizontal="center"/>
    </xf>
    <xf numFmtId="3" fontId="27" fillId="0" borderId="2" xfId="2" applyNumberFormat="1" applyFont="1" applyFill="1" applyBorder="1" applyAlignment="1">
      <alignment horizontal="center"/>
    </xf>
    <xf numFmtId="3" fontId="27" fillId="0" borderId="3" xfId="2" applyNumberFormat="1" applyFont="1" applyFill="1" applyBorder="1" applyAlignment="1">
      <alignment horizontal="center"/>
    </xf>
    <xf numFmtId="3" fontId="27" fillId="0" borderId="4" xfId="2" applyNumberFormat="1" applyFont="1" applyFill="1" applyBorder="1" applyAlignment="1">
      <alignment horizontal="center"/>
    </xf>
    <xf numFmtId="3" fontId="27" fillId="0" borderId="0" xfId="2" applyNumberFormat="1" applyFont="1" applyAlignment="1">
      <alignment horizontal="center"/>
    </xf>
    <xf numFmtId="3" fontId="27" fillId="0" borderId="2" xfId="2" applyNumberFormat="1" applyFont="1" applyBorder="1" applyAlignment="1">
      <alignment horizontal="center" vertical="center"/>
    </xf>
    <xf numFmtId="3" fontId="27" fillId="0" borderId="3" xfId="2" applyNumberFormat="1" applyFont="1" applyBorder="1" applyAlignment="1">
      <alignment horizontal="center" vertical="center"/>
    </xf>
    <xf numFmtId="3" fontId="27" fillId="0" borderId="4" xfId="2" applyNumberFormat="1" applyFont="1" applyBorder="1" applyAlignment="1">
      <alignment horizontal="center" vertical="center"/>
    </xf>
    <xf numFmtId="3" fontId="27" fillId="0" borderId="2" xfId="2" applyNumberFormat="1" applyFont="1" applyFill="1" applyBorder="1" applyAlignment="1">
      <alignment horizontal="center" vertical="center"/>
    </xf>
    <xf numFmtId="3" fontId="27" fillId="0" borderId="3" xfId="2" applyNumberFormat="1" applyFont="1" applyFill="1" applyBorder="1" applyAlignment="1">
      <alignment horizontal="center" vertical="center"/>
    </xf>
    <xf numFmtId="3" fontId="27" fillId="0" borderId="4" xfId="2" applyNumberFormat="1" applyFont="1" applyFill="1" applyBorder="1" applyAlignment="1">
      <alignment horizontal="center" vertical="center"/>
    </xf>
    <xf numFmtId="3" fontId="27" fillId="0" borderId="0" xfId="2" applyNumberFormat="1" applyFont="1" applyBorder="1" applyAlignment="1">
      <alignment horizontal="center" wrapText="1"/>
    </xf>
    <xf numFmtId="3" fontId="27" fillId="0" borderId="2" xfId="7" applyNumberFormat="1" applyFont="1" applyFill="1" applyBorder="1" applyAlignment="1">
      <alignment horizontal="center"/>
    </xf>
    <xf numFmtId="3" fontId="27" fillId="0" borderId="3" xfId="7" applyNumberFormat="1" applyFont="1" applyFill="1" applyBorder="1" applyAlignment="1">
      <alignment horizontal="center"/>
    </xf>
    <xf numFmtId="3" fontId="27" fillId="0" borderId="4" xfId="7" applyNumberFormat="1" applyFont="1" applyFill="1" applyBorder="1" applyAlignment="1">
      <alignment horizontal="center"/>
    </xf>
    <xf numFmtId="3" fontId="13" fillId="0" borderId="0" xfId="2" applyNumberFormat="1" applyFont="1" applyBorder="1" applyAlignment="1">
      <alignment horizontal="center"/>
    </xf>
    <xf numFmtId="3" fontId="14" fillId="0" borderId="0" xfId="11" applyNumberFormat="1" applyFont="1" applyAlignment="1">
      <alignment horizontal="right"/>
    </xf>
    <xf numFmtId="3" fontId="14" fillId="0" borderId="1" xfId="2" applyNumberFormat="1" applyFont="1" applyBorder="1" applyAlignment="1">
      <alignment horizontal="center" vertical="center"/>
    </xf>
    <xf numFmtId="0" fontId="18" fillId="0" borderId="0" xfId="2" applyFont="1" applyAlignment="1">
      <alignment horizontal="center" wrapText="1"/>
    </xf>
    <xf numFmtId="3" fontId="14" fillId="0" borderId="5" xfId="2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4" fillId="0" borderId="2" xfId="2" applyFont="1" applyBorder="1" applyAlignment="1">
      <alignment horizontal="center"/>
    </xf>
    <xf numFmtId="0" fontId="14" fillId="0" borderId="3" xfId="2" applyFont="1" applyBorder="1" applyAlignment="1">
      <alignment horizontal="center"/>
    </xf>
    <xf numFmtId="0" fontId="14" fillId="0" borderId="4" xfId="2" applyFont="1" applyBorder="1" applyAlignment="1">
      <alignment horizontal="center"/>
    </xf>
    <xf numFmtId="0" fontId="14" fillId="0" borderId="0" xfId="2" applyFont="1" applyAlignment="1">
      <alignment horizontal="center"/>
    </xf>
    <xf numFmtId="0" fontId="14" fillId="0" borderId="0" xfId="0" applyFont="1" applyAlignment="1">
      <alignment horizontal="center"/>
    </xf>
    <xf numFmtId="0" fontId="27" fillId="0" borderId="0" xfId="0" applyFont="1" applyAlignment="1">
      <alignment horizontal="right"/>
    </xf>
    <xf numFmtId="0" fontId="14" fillId="0" borderId="2" xfId="9" applyFont="1" applyBorder="1" applyAlignment="1">
      <alignment horizontal="center" vertical="center" wrapText="1"/>
    </xf>
    <xf numFmtId="0" fontId="14" fillId="0" borderId="3" xfId="9" applyFont="1" applyBorder="1" applyAlignment="1">
      <alignment horizontal="center" vertical="center" wrapText="1"/>
    </xf>
    <xf numFmtId="0" fontId="14" fillId="0" borderId="0" xfId="9" applyFont="1" applyAlignment="1">
      <alignment horizontal="center" vertical="center" wrapText="1"/>
    </xf>
    <xf numFmtId="0" fontId="27" fillId="0" borderId="0" xfId="9" applyFont="1" applyAlignment="1">
      <alignment horizontal="left" vertical="center" wrapText="1"/>
    </xf>
    <xf numFmtId="0" fontId="27" fillId="0" borderId="0" xfId="9" applyFont="1" applyAlignment="1">
      <alignment vertical="center"/>
    </xf>
    <xf numFmtId="0" fontId="27" fillId="0" borderId="0" xfId="9" applyFont="1" applyAlignment="1">
      <alignment horizontal="right" vertical="center"/>
    </xf>
    <xf numFmtId="0" fontId="14" fillId="0" borderId="0" xfId="9" applyFont="1" applyBorder="1" applyAlignment="1">
      <alignment horizontal="left" vertical="center" wrapText="1"/>
    </xf>
    <xf numFmtId="0" fontId="27" fillId="0" borderId="0" xfId="9" applyFont="1" applyBorder="1" applyAlignment="1">
      <alignment horizontal="left" vertical="center" wrapText="1"/>
    </xf>
    <xf numFmtId="0" fontId="27" fillId="0" borderId="0" xfId="7" applyFont="1" applyBorder="1" applyAlignment="1">
      <alignment horizontal="left" vertical="center" wrapText="1"/>
    </xf>
    <xf numFmtId="14" fontId="27" fillId="0" borderId="0" xfId="6" applyNumberFormat="1" applyFont="1" applyBorder="1" applyAlignment="1">
      <alignment horizontal="left" vertical="center" wrapText="1"/>
    </xf>
    <xf numFmtId="0" fontId="27" fillId="0" borderId="0" xfId="6" applyFont="1" applyBorder="1" applyAlignment="1">
      <alignment horizontal="left" vertical="center" wrapText="1"/>
    </xf>
    <xf numFmtId="0" fontId="27" fillId="0" borderId="0" xfId="9" applyFont="1" applyAlignment="1">
      <alignment horizontal="left"/>
    </xf>
    <xf numFmtId="0" fontId="27" fillId="0" borderId="9" xfId="9" applyFont="1" applyBorder="1" applyAlignment="1">
      <alignment horizontal="right" vertical="center"/>
    </xf>
    <xf numFmtId="0" fontId="14" fillId="0" borderId="1" xfId="9" applyFont="1" applyBorder="1" applyAlignment="1">
      <alignment horizontal="center" vertical="center" wrapText="1"/>
    </xf>
    <xf numFmtId="0" fontId="14" fillId="0" borderId="4" xfId="9" applyFont="1" applyBorder="1" applyAlignment="1">
      <alignment horizontal="center" vertical="center" wrapText="1"/>
    </xf>
    <xf numFmtId="0" fontId="27" fillId="0" borderId="9" xfId="0" applyFont="1" applyBorder="1" applyAlignment="1">
      <alignment horizontal="right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10" fontId="27" fillId="0" borderId="9" xfId="0" applyNumberFormat="1" applyFont="1" applyBorder="1" applyAlignment="1">
      <alignment horizontal="right"/>
    </xf>
  </cellXfs>
  <cellStyles count="145">
    <cellStyle name="20% - 1. jelölőszín 2" xfId="50" xr:uid="{00000000-0005-0000-0000-000000000000}"/>
    <cellStyle name="20% - 2. jelölőszín 2" xfId="51" xr:uid="{00000000-0005-0000-0000-000001000000}"/>
    <cellStyle name="20% - 3. jelölőszín 2" xfId="52" xr:uid="{00000000-0005-0000-0000-000002000000}"/>
    <cellStyle name="20% - 4. jelölőszín 2" xfId="53" xr:uid="{00000000-0005-0000-0000-000003000000}"/>
    <cellStyle name="20% - 5. jelölőszín 2" xfId="54" xr:uid="{00000000-0005-0000-0000-000004000000}"/>
    <cellStyle name="20% - 6. jelölőszín 2" xfId="55" xr:uid="{00000000-0005-0000-0000-000005000000}"/>
    <cellStyle name="40% - 1. jelölőszín 2" xfId="56" xr:uid="{00000000-0005-0000-0000-000006000000}"/>
    <cellStyle name="40% - 2. jelölőszín 2" xfId="57" xr:uid="{00000000-0005-0000-0000-000007000000}"/>
    <cellStyle name="40% - 3. jelölőszín 2" xfId="58" xr:uid="{00000000-0005-0000-0000-000008000000}"/>
    <cellStyle name="40% - 4. jelölőszín 2" xfId="59" xr:uid="{00000000-0005-0000-0000-000009000000}"/>
    <cellStyle name="40% - 5. jelölőszín 2" xfId="60" xr:uid="{00000000-0005-0000-0000-00000A000000}"/>
    <cellStyle name="40% - 6. jelölőszín 2" xfId="61" xr:uid="{00000000-0005-0000-0000-00000B000000}"/>
    <cellStyle name="60% - 1. jelölőszín 2" xfId="62" xr:uid="{00000000-0005-0000-0000-00000C000000}"/>
    <cellStyle name="60% - 2. jelölőszín 2" xfId="63" xr:uid="{00000000-0005-0000-0000-00000D000000}"/>
    <cellStyle name="60% - 3. jelölőszín 2" xfId="64" xr:uid="{00000000-0005-0000-0000-00000E000000}"/>
    <cellStyle name="60% - 4. jelölőszín 2" xfId="65" xr:uid="{00000000-0005-0000-0000-00000F000000}"/>
    <cellStyle name="60% - 5. jelölőszín 2" xfId="66" xr:uid="{00000000-0005-0000-0000-000010000000}"/>
    <cellStyle name="60% - 6. jelölőszín 2" xfId="67" xr:uid="{00000000-0005-0000-0000-000011000000}"/>
    <cellStyle name="Bevitel 2" xfId="68" xr:uid="{00000000-0005-0000-0000-000012000000}"/>
    <cellStyle name="Cím 2" xfId="69" xr:uid="{00000000-0005-0000-0000-000013000000}"/>
    <cellStyle name="Címsor 1 2" xfId="70" xr:uid="{00000000-0005-0000-0000-000014000000}"/>
    <cellStyle name="Címsor 2 2" xfId="71" xr:uid="{00000000-0005-0000-0000-000015000000}"/>
    <cellStyle name="Címsor 3 2" xfId="72" xr:uid="{00000000-0005-0000-0000-000016000000}"/>
    <cellStyle name="Címsor 4 2" xfId="73" xr:uid="{00000000-0005-0000-0000-000017000000}"/>
    <cellStyle name="Ellenőrzőcella 2" xfId="74" xr:uid="{00000000-0005-0000-0000-000018000000}"/>
    <cellStyle name="Ezres 2" xfId="75" xr:uid="{00000000-0005-0000-0000-000019000000}"/>
    <cellStyle name="Ezres 3" xfId="76" xr:uid="{00000000-0005-0000-0000-00001A000000}"/>
    <cellStyle name="Ezres 4" xfId="77" xr:uid="{00000000-0005-0000-0000-00001B000000}"/>
    <cellStyle name="Ezres 5" xfId="78" xr:uid="{00000000-0005-0000-0000-00001C000000}"/>
    <cellStyle name="Figyelmeztetés 2" xfId="79" xr:uid="{00000000-0005-0000-0000-00001D000000}"/>
    <cellStyle name="Hivatkozott cella 2" xfId="80" xr:uid="{00000000-0005-0000-0000-00001E000000}"/>
    <cellStyle name="Jegyzet 2" xfId="81" xr:uid="{00000000-0005-0000-0000-00001F000000}"/>
    <cellStyle name="Jó 2" xfId="82" xr:uid="{00000000-0005-0000-0000-000020000000}"/>
    <cellStyle name="Kimenet 2" xfId="83" xr:uid="{00000000-0005-0000-0000-000021000000}"/>
    <cellStyle name="Magyarázó szöveg 2" xfId="84" xr:uid="{00000000-0005-0000-0000-000022000000}"/>
    <cellStyle name="Normál" xfId="0" builtinId="0"/>
    <cellStyle name="Normál 10" xfId="24" xr:uid="{00000000-0005-0000-0000-000024000000}"/>
    <cellStyle name="Normál 10 2" xfId="36" xr:uid="{00000000-0005-0000-0000-000025000000}"/>
    <cellStyle name="Normál 10 2 2" xfId="132" xr:uid="{00000000-0005-0000-0000-000026000000}"/>
    <cellStyle name="Normál 10 3" xfId="85" xr:uid="{00000000-0005-0000-0000-000027000000}"/>
    <cellStyle name="Normál 10 4" xfId="122" xr:uid="{00000000-0005-0000-0000-000028000000}"/>
    <cellStyle name="Normál 11" xfId="47" xr:uid="{00000000-0005-0000-0000-000029000000}"/>
    <cellStyle name="Normál 11 2" xfId="86" xr:uid="{00000000-0005-0000-0000-00002A000000}"/>
    <cellStyle name="Normál 12" xfId="87" xr:uid="{00000000-0005-0000-0000-00002B000000}"/>
    <cellStyle name="Normál 13" xfId="88" xr:uid="{00000000-0005-0000-0000-00002C000000}"/>
    <cellStyle name="Normál 14" xfId="89" xr:uid="{00000000-0005-0000-0000-00002D000000}"/>
    <cellStyle name="Normál 15" xfId="7" xr:uid="{00000000-0005-0000-0000-00002E000000}"/>
    <cellStyle name="Normál 16" xfId="5" xr:uid="{00000000-0005-0000-0000-00002F000000}"/>
    <cellStyle name="Normál 16 2" xfId="18" xr:uid="{00000000-0005-0000-0000-000030000000}"/>
    <cellStyle name="Normál 16 2 2" xfId="33" xr:uid="{00000000-0005-0000-0000-000031000000}"/>
    <cellStyle name="Normál 16 2 2 2" xfId="129" xr:uid="{00000000-0005-0000-0000-000032000000}"/>
    <cellStyle name="Normál 16 2 3" xfId="119" xr:uid="{00000000-0005-0000-0000-000033000000}"/>
    <cellStyle name="Normál 16 3" xfId="20" xr:uid="{00000000-0005-0000-0000-000034000000}"/>
    <cellStyle name="Normál 16 3 2" xfId="35" xr:uid="{00000000-0005-0000-0000-000035000000}"/>
    <cellStyle name="Normál 16 3 2 2" xfId="131" xr:uid="{00000000-0005-0000-0000-000036000000}"/>
    <cellStyle name="Normál 16 3 3" xfId="121" xr:uid="{00000000-0005-0000-0000-000037000000}"/>
    <cellStyle name="Normál 16 4" xfId="26" xr:uid="{00000000-0005-0000-0000-000038000000}"/>
    <cellStyle name="Normál 16 4 2" xfId="124" xr:uid="{00000000-0005-0000-0000-000039000000}"/>
    <cellStyle name="Normál 16 5" xfId="38" xr:uid="{00000000-0005-0000-0000-00003A000000}"/>
    <cellStyle name="Normál 16 5 2" xfId="134" xr:uid="{00000000-0005-0000-0000-00003B000000}"/>
    <cellStyle name="Normál 16 6" xfId="43" xr:uid="{00000000-0005-0000-0000-00003C000000}"/>
    <cellStyle name="Normál 16 6 2" xfId="139" xr:uid="{00000000-0005-0000-0000-00003D000000}"/>
    <cellStyle name="Normál 16 7" xfId="48" xr:uid="{00000000-0005-0000-0000-00003E000000}"/>
    <cellStyle name="Normál 16 8" xfId="114" xr:uid="{00000000-0005-0000-0000-00003F000000}"/>
    <cellStyle name="Normál 17" xfId="49" xr:uid="{00000000-0005-0000-0000-000040000000}"/>
    <cellStyle name="Normál 18" xfId="143" xr:uid="{00000000-0005-0000-0000-000041000000}"/>
    <cellStyle name="Normál 2" xfId="4" xr:uid="{00000000-0005-0000-0000-000042000000}"/>
    <cellStyle name="Normál 2 2" xfId="9" xr:uid="{00000000-0005-0000-0000-000043000000}"/>
    <cellStyle name="Normál 2 2 2" xfId="91" xr:uid="{00000000-0005-0000-0000-000044000000}"/>
    <cellStyle name="Normál 2 2 3" xfId="90" xr:uid="{00000000-0005-0000-0000-000045000000}"/>
    <cellStyle name="Normál 2 3" xfId="17" xr:uid="{00000000-0005-0000-0000-000046000000}"/>
    <cellStyle name="Normál 2 3 2" xfId="32" xr:uid="{00000000-0005-0000-0000-000047000000}"/>
    <cellStyle name="Normál 2 3 2 2" xfId="128" xr:uid="{00000000-0005-0000-0000-000048000000}"/>
    <cellStyle name="Normál 2 3 3" xfId="92" xr:uid="{00000000-0005-0000-0000-000049000000}"/>
    <cellStyle name="Normál 2 3 4" xfId="118" xr:uid="{00000000-0005-0000-0000-00004A000000}"/>
    <cellStyle name="Normál 2 4" xfId="25" xr:uid="{00000000-0005-0000-0000-00004B000000}"/>
    <cellStyle name="Normál 2 4 2" xfId="93" xr:uid="{00000000-0005-0000-0000-00004C000000}"/>
    <cellStyle name="Normál 2 4 3" xfId="123" xr:uid="{00000000-0005-0000-0000-00004D000000}"/>
    <cellStyle name="Normál 2 5" xfId="37" xr:uid="{00000000-0005-0000-0000-00004E000000}"/>
    <cellStyle name="Normál 2 5 2" xfId="94" xr:uid="{00000000-0005-0000-0000-00004F000000}"/>
    <cellStyle name="Normál 2 5 3" xfId="133" xr:uid="{00000000-0005-0000-0000-000050000000}"/>
    <cellStyle name="Normál 2 6" xfId="42" xr:uid="{00000000-0005-0000-0000-000051000000}"/>
    <cellStyle name="Normál 2 6 2" xfId="138" xr:uid="{00000000-0005-0000-0000-000052000000}"/>
    <cellStyle name="Normál 2 7" xfId="113" xr:uid="{00000000-0005-0000-0000-000053000000}"/>
    <cellStyle name="Normál 3" xfId="6" xr:uid="{00000000-0005-0000-0000-000054000000}"/>
    <cellStyle name="Normál 3 2" xfId="10" xr:uid="{00000000-0005-0000-0000-000055000000}"/>
    <cellStyle name="Normál 3 2 2" xfId="28" xr:uid="{00000000-0005-0000-0000-000056000000}"/>
    <cellStyle name="Normál 3 2 2 2" xfId="125" xr:uid="{00000000-0005-0000-0000-000057000000}"/>
    <cellStyle name="Normál 3 2 3" xfId="39" xr:uid="{00000000-0005-0000-0000-000058000000}"/>
    <cellStyle name="Normál 3 2 3 2" xfId="135" xr:uid="{00000000-0005-0000-0000-000059000000}"/>
    <cellStyle name="Normál 3 2 4" xfId="44" xr:uid="{00000000-0005-0000-0000-00005A000000}"/>
    <cellStyle name="Normál 3 2 4 2" xfId="140" xr:uid="{00000000-0005-0000-0000-00005B000000}"/>
    <cellStyle name="Normál 3 2 5" xfId="96" xr:uid="{00000000-0005-0000-0000-00005C000000}"/>
    <cellStyle name="Normál 3 2 6" xfId="115" xr:uid="{00000000-0005-0000-0000-00005D000000}"/>
    <cellStyle name="Normál 3 3" xfId="97" xr:uid="{00000000-0005-0000-0000-00005E000000}"/>
    <cellStyle name="Normál 3 4" xfId="95" xr:uid="{00000000-0005-0000-0000-00005F000000}"/>
    <cellStyle name="Normál 3_átmeneti gazdálkodás" xfId="98" xr:uid="{00000000-0005-0000-0000-000060000000}"/>
    <cellStyle name="Normál 4" xfId="8" xr:uid="{00000000-0005-0000-0000-000061000000}"/>
    <cellStyle name="Normál 4 2" xfId="27" xr:uid="{00000000-0005-0000-0000-000062000000}"/>
    <cellStyle name="Normál 4 2 2" xfId="100" xr:uid="{00000000-0005-0000-0000-000063000000}"/>
    <cellStyle name="Normál 4 3" xfId="99" xr:uid="{00000000-0005-0000-0000-000064000000}"/>
    <cellStyle name="Normál 5" xfId="14" xr:uid="{00000000-0005-0000-0000-000065000000}"/>
    <cellStyle name="Normál 5 2" xfId="29" xr:uid="{00000000-0005-0000-0000-000066000000}"/>
    <cellStyle name="Normál 5 2 2" xfId="102" xr:uid="{00000000-0005-0000-0000-000067000000}"/>
    <cellStyle name="Normál 5 2 3" xfId="126" xr:uid="{00000000-0005-0000-0000-000068000000}"/>
    <cellStyle name="Normál 5 3" xfId="40" xr:uid="{00000000-0005-0000-0000-000069000000}"/>
    <cellStyle name="Normál 5 3 2" xfId="136" xr:uid="{00000000-0005-0000-0000-00006A000000}"/>
    <cellStyle name="Normál 5 4" xfId="45" xr:uid="{00000000-0005-0000-0000-00006B000000}"/>
    <cellStyle name="Normál 5 4 2" xfId="141" xr:uid="{00000000-0005-0000-0000-00006C000000}"/>
    <cellStyle name="Normál 5 5" xfId="101" xr:uid="{00000000-0005-0000-0000-00006D000000}"/>
    <cellStyle name="Normál 5 6" xfId="116" xr:uid="{00000000-0005-0000-0000-00006E000000}"/>
    <cellStyle name="Normál 6" xfId="15" xr:uid="{00000000-0005-0000-0000-00006F000000}"/>
    <cellStyle name="Normál 6 2" xfId="30" xr:uid="{00000000-0005-0000-0000-000070000000}"/>
    <cellStyle name="Normál 6 2 2" xfId="127" xr:uid="{00000000-0005-0000-0000-000071000000}"/>
    <cellStyle name="Normál 6 3" xfId="41" xr:uid="{00000000-0005-0000-0000-000072000000}"/>
    <cellStyle name="Normál 6 3 2" xfId="137" xr:uid="{00000000-0005-0000-0000-000073000000}"/>
    <cellStyle name="Normál 6 4" xfId="46" xr:uid="{00000000-0005-0000-0000-000074000000}"/>
    <cellStyle name="Normál 6 4 2" xfId="142" xr:uid="{00000000-0005-0000-0000-000075000000}"/>
    <cellStyle name="Normál 6 5" xfId="103" xr:uid="{00000000-0005-0000-0000-000076000000}"/>
    <cellStyle name="Normál 6 6" xfId="117" xr:uid="{00000000-0005-0000-0000-000077000000}"/>
    <cellStyle name="Normál 7" xfId="16" xr:uid="{00000000-0005-0000-0000-000078000000}"/>
    <cellStyle name="Normál 7 2" xfId="31" xr:uid="{00000000-0005-0000-0000-000079000000}"/>
    <cellStyle name="Normál 7 3" xfId="104" xr:uid="{00000000-0005-0000-0000-00007A000000}"/>
    <cellStyle name="Normál 8" xfId="19" xr:uid="{00000000-0005-0000-0000-00007B000000}"/>
    <cellStyle name="Normál 8 2" xfId="34" xr:uid="{00000000-0005-0000-0000-00007C000000}"/>
    <cellStyle name="Normál 8 2 2" xfId="130" xr:uid="{00000000-0005-0000-0000-00007D000000}"/>
    <cellStyle name="Normál 8 3" xfId="105" xr:uid="{00000000-0005-0000-0000-00007E000000}"/>
    <cellStyle name="Normál 8 4" xfId="120" xr:uid="{00000000-0005-0000-0000-00007F000000}"/>
    <cellStyle name="Normál 9" xfId="22" xr:uid="{00000000-0005-0000-0000-000080000000}"/>
    <cellStyle name="Normál 9 2" xfId="107" xr:uid="{00000000-0005-0000-0000-000081000000}"/>
    <cellStyle name="Normál 9 3" xfId="106" xr:uid="{00000000-0005-0000-0000-000082000000}"/>
    <cellStyle name="Normál_2011 VII.sz.mód." xfId="2" xr:uid="{00000000-0005-0000-0000-000083000000}"/>
    <cellStyle name="Normál_Beruh-felúj." xfId="21" xr:uid="{00000000-0005-0000-0000-000084000000}"/>
    <cellStyle name="Normál_finansz.összetétel" xfId="12" xr:uid="{00000000-0005-0000-0000-000085000000}"/>
    <cellStyle name="Normál_Hitel+kamat" xfId="11" xr:uid="{00000000-0005-0000-0000-000086000000}"/>
    <cellStyle name="Normál_II. Mód" xfId="3" xr:uid="{00000000-0005-0000-0000-000087000000}"/>
    <cellStyle name="Normál_kereset-kiegészítés" xfId="144" xr:uid="{00000000-0005-0000-0000-000088000000}"/>
    <cellStyle name="Normál_Kötelező+nem kötelező" xfId="13" xr:uid="{00000000-0005-0000-0000-000089000000}"/>
    <cellStyle name="Normál_mérlegtábla-hivatal" xfId="1" xr:uid="{00000000-0005-0000-0000-00008A000000}"/>
    <cellStyle name="Összesen 2" xfId="108" xr:uid="{00000000-0005-0000-0000-00008B000000}"/>
    <cellStyle name="Rossz 2" xfId="109" xr:uid="{00000000-0005-0000-0000-00008C000000}"/>
    <cellStyle name="Semleges 2" xfId="110" xr:uid="{00000000-0005-0000-0000-00008D000000}"/>
    <cellStyle name="Számítás 2" xfId="111" xr:uid="{00000000-0005-0000-0000-00008E000000}"/>
    <cellStyle name="Százalék 2" xfId="23" xr:uid="{00000000-0005-0000-0000-00008F000000}"/>
    <cellStyle name="Százalék 2 2" xfId="112" xr:uid="{00000000-0005-0000-0000-00009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K&#246;lts&#233;gvet&#233;si%20&#233;s%20P&#233;nz&#252;gyi%20csoport/K&#246;z&#246;s/2020/K&#246;z&#246;s/KM/2020%20kv%20el&#337;k&#233;sz&#237;t&#233;s/2020%20%20k&#246;lts&#233;gvet&#233;si%20t&#225;mog.%20tv.%20szeri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jlagos"/>
      <sheetName val="Ktgv. tv."/>
      <sheetName val="Intézményi ktgv"/>
      <sheetName val="Számítások tény"/>
      <sheetName val="Étkezés"/>
    </sheetNames>
    <sheetDataSet>
      <sheetData sheetId="0"/>
      <sheetData sheetId="1"/>
      <sheetData sheetId="2">
        <row r="109">
          <cell r="F109">
            <v>77591000</v>
          </cell>
        </row>
        <row r="149">
          <cell r="F149">
            <v>18781000</v>
          </cell>
        </row>
      </sheetData>
      <sheetData sheetId="3">
        <row r="11">
          <cell r="B11">
            <v>54.41</v>
          </cell>
        </row>
        <row r="23">
          <cell r="C23">
            <v>361741356.48473299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3"/>
  <sheetViews>
    <sheetView view="pageBreakPreview" zoomScale="82" zoomScaleNormal="100" zoomScaleSheetLayoutView="82" workbookViewId="0">
      <selection activeCell="R24" sqref="R24"/>
    </sheetView>
  </sheetViews>
  <sheetFormatPr defaultColWidth="9.140625" defaultRowHeight="15.75"/>
  <cols>
    <col min="1" max="1" width="46.85546875" style="522" customWidth="1"/>
    <col min="2" max="2" width="10.7109375" style="523" customWidth="1"/>
    <col min="3" max="3" width="13" style="309" bestFit="1" customWidth="1"/>
    <col min="4" max="4" width="10.7109375" style="95" customWidth="1"/>
    <col min="5" max="5" width="16" style="309" customWidth="1"/>
    <col min="6" max="6" width="13" style="309" bestFit="1" customWidth="1"/>
    <col min="7" max="7" width="10.7109375" style="95" customWidth="1"/>
    <col min="8" max="8" width="16.7109375" style="309" customWidth="1"/>
    <col min="9" max="9" width="15.5703125" style="496" customWidth="1"/>
    <col min="10" max="16384" width="9.140625" style="309"/>
  </cols>
  <sheetData>
    <row r="1" spans="1:9" ht="18.75">
      <c r="H1" s="671" t="s">
        <v>822</v>
      </c>
      <c r="I1" s="671"/>
    </row>
    <row r="2" spans="1:9" ht="16.5">
      <c r="A2" s="672" t="s">
        <v>823</v>
      </c>
      <c r="B2" s="672"/>
      <c r="C2" s="672"/>
      <c r="D2" s="672"/>
      <c r="E2" s="672"/>
      <c r="F2" s="672"/>
      <c r="G2" s="672"/>
      <c r="H2" s="672"/>
      <c r="I2" s="672"/>
    </row>
    <row r="3" spans="1:9" ht="16.5">
      <c r="A3" s="672" t="s">
        <v>824</v>
      </c>
      <c r="B3" s="672"/>
      <c r="C3" s="672"/>
      <c r="D3" s="672"/>
      <c r="E3" s="672"/>
      <c r="F3" s="672"/>
      <c r="G3" s="672"/>
      <c r="H3" s="672"/>
      <c r="I3" s="672"/>
    </row>
    <row r="4" spans="1:9" ht="16.5">
      <c r="A4" s="524"/>
      <c r="B4" s="524"/>
      <c r="C4" s="524"/>
      <c r="D4" s="524"/>
      <c r="E4" s="524"/>
      <c r="F4" s="524"/>
      <c r="G4" s="524"/>
    </row>
    <row r="5" spans="1:9" ht="16.5">
      <c r="A5" s="570"/>
      <c r="B5" s="571"/>
      <c r="C5" s="673" t="s">
        <v>930</v>
      </c>
      <c r="D5" s="673"/>
      <c r="E5" s="673"/>
      <c r="F5" s="673" t="s">
        <v>825</v>
      </c>
      <c r="G5" s="673"/>
      <c r="H5" s="673"/>
      <c r="I5" s="572" t="s">
        <v>960</v>
      </c>
    </row>
    <row r="6" spans="1:9" s="529" customFormat="1" ht="31.5">
      <c r="A6" s="525" t="s">
        <v>826</v>
      </c>
      <c r="B6" s="526" t="s">
        <v>827</v>
      </c>
      <c r="C6" s="525" t="s">
        <v>828</v>
      </c>
      <c r="D6" s="527" t="s">
        <v>829</v>
      </c>
      <c r="E6" s="528" t="s">
        <v>334</v>
      </c>
      <c r="F6" s="525" t="s">
        <v>828</v>
      </c>
      <c r="G6" s="527" t="s">
        <v>829</v>
      </c>
      <c r="H6" s="528" t="s">
        <v>334</v>
      </c>
      <c r="I6" s="521" t="s">
        <v>931</v>
      </c>
    </row>
    <row r="7" spans="1:9" s="529" customFormat="1" ht="31.5">
      <c r="A7" s="194" t="s">
        <v>830</v>
      </c>
      <c r="B7" s="530" t="s">
        <v>336</v>
      </c>
      <c r="C7" s="531"/>
      <c r="D7" s="38"/>
      <c r="E7" s="532"/>
      <c r="F7" s="531"/>
      <c r="G7" s="38"/>
      <c r="H7" s="532"/>
      <c r="I7" s="486"/>
    </row>
    <row r="8" spans="1:9" ht="25.5" customHeight="1">
      <c r="A8" s="47" t="s">
        <v>932</v>
      </c>
      <c r="B8" s="530" t="s">
        <v>831</v>
      </c>
      <c r="C8" s="533">
        <f>F8</f>
        <v>54.41</v>
      </c>
      <c r="D8" s="501">
        <v>4580000</v>
      </c>
      <c r="E8" s="501">
        <f>C8*D8/12*12</f>
        <v>249197800</v>
      </c>
      <c r="F8" s="533">
        <v>54.41</v>
      </c>
      <c r="G8" s="501">
        <v>4580000</v>
      </c>
      <c r="H8" s="501">
        <f>F8*G8</f>
        <v>249197799.99999997</v>
      </c>
      <c r="I8" s="670">
        <f>E8+E9-H8</f>
        <v>0</v>
      </c>
    </row>
    <row r="9" spans="1:9" ht="25.5" customHeight="1">
      <c r="A9" s="47" t="s">
        <v>933</v>
      </c>
      <c r="B9" s="530"/>
      <c r="C9" s="533">
        <f>'[1]Számítások tény'!B11</f>
        <v>54.41</v>
      </c>
      <c r="D9" s="501">
        <v>5450000</v>
      </c>
      <c r="E9" s="501">
        <f>C9*D9/12*0</f>
        <v>0</v>
      </c>
      <c r="F9" s="533"/>
      <c r="G9" s="501"/>
      <c r="H9" s="501"/>
      <c r="I9" s="670"/>
    </row>
    <row r="10" spans="1:9" ht="25.5" customHeight="1">
      <c r="A10" s="567" t="s">
        <v>832</v>
      </c>
      <c r="B10" s="526"/>
      <c r="C10" s="573"/>
      <c r="D10" s="355"/>
      <c r="E10" s="355">
        <f>SUM(E8:E9)</f>
        <v>249197800</v>
      </c>
      <c r="F10" s="573"/>
      <c r="G10" s="355"/>
      <c r="H10" s="355">
        <f>H29</f>
        <v>197083456.91540956</v>
      </c>
      <c r="I10" s="41">
        <f t="shared" ref="I10:I28" si="0">E10-H10</f>
        <v>52114343.084590435</v>
      </c>
    </row>
    <row r="11" spans="1:9" ht="25.5" customHeight="1">
      <c r="A11" s="368" t="s">
        <v>833</v>
      </c>
      <c r="B11" s="530" t="s">
        <v>834</v>
      </c>
      <c r="C11" s="535">
        <v>1065.7</v>
      </c>
      <c r="D11" s="501">
        <v>25200</v>
      </c>
      <c r="E11" s="501">
        <f>C11*D11</f>
        <v>26855640</v>
      </c>
      <c r="F11" s="535">
        <v>1065.7</v>
      </c>
      <c r="G11" s="501">
        <v>22300</v>
      </c>
      <c r="H11" s="501">
        <f>F11*G11</f>
        <v>23765110</v>
      </c>
      <c r="I11" s="248">
        <f t="shared" si="0"/>
        <v>3090530</v>
      </c>
    </row>
    <row r="12" spans="1:9" ht="25.5" customHeight="1">
      <c r="A12" s="534" t="s">
        <v>832</v>
      </c>
      <c r="B12" s="530"/>
      <c r="C12" s="535"/>
      <c r="D12" s="501"/>
      <c r="E12" s="501">
        <v>0</v>
      </c>
      <c r="F12" s="535"/>
      <c r="G12" s="501"/>
      <c r="H12" s="501">
        <v>0</v>
      </c>
      <c r="I12" s="248">
        <f t="shared" si="0"/>
        <v>0</v>
      </c>
    </row>
    <row r="13" spans="1:9" ht="25.5" customHeight="1">
      <c r="A13" s="47" t="s">
        <v>835</v>
      </c>
      <c r="B13" s="530" t="s">
        <v>836</v>
      </c>
      <c r="C13" s="485">
        <v>491.4</v>
      </c>
      <c r="D13" s="501">
        <v>400000</v>
      </c>
      <c r="E13" s="501">
        <f>C13*D13</f>
        <v>196560000</v>
      </c>
      <c r="F13" s="485">
        <v>489.3</v>
      </c>
      <c r="G13" s="501">
        <v>400000</v>
      </c>
      <c r="H13" s="501">
        <f>F13*G13</f>
        <v>195720000</v>
      </c>
      <c r="I13" s="248">
        <f t="shared" si="0"/>
        <v>840000</v>
      </c>
    </row>
    <row r="14" spans="1:9" ht="25.5" customHeight="1">
      <c r="A14" s="534" t="s">
        <v>832</v>
      </c>
      <c r="B14" s="530"/>
      <c r="C14" s="485"/>
      <c r="D14" s="501"/>
      <c r="E14" s="501">
        <v>0</v>
      </c>
      <c r="F14" s="485"/>
      <c r="G14" s="501"/>
      <c r="H14" s="501">
        <v>0</v>
      </c>
      <c r="I14" s="248">
        <f t="shared" si="0"/>
        <v>0</v>
      </c>
    </row>
    <row r="15" spans="1:9" ht="25.5" customHeight="1">
      <c r="A15" s="368" t="s">
        <v>837</v>
      </c>
      <c r="B15" s="530" t="s">
        <v>838</v>
      </c>
      <c r="C15" s="501"/>
      <c r="D15" s="501"/>
      <c r="E15" s="501">
        <v>16338192</v>
      </c>
      <c r="F15" s="501"/>
      <c r="G15" s="501"/>
      <c r="H15" s="501">
        <v>16338192</v>
      </c>
      <c r="I15" s="248">
        <f t="shared" si="0"/>
        <v>0</v>
      </c>
    </row>
    <row r="16" spans="1:9" ht="25.5" customHeight="1">
      <c r="A16" s="534" t="s">
        <v>832</v>
      </c>
      <c r="B16" s="530"/>
      <c r="C16" s="501"/>
      <c r="D16" s="501"/>
      <c r="E16" s="501">
        <v>0</v>
      </c>
      <c r="F16" s="501"/>
      <c r="G16" s="501"/>
      <c r="H16" s="501">
        <v>0</v>
      </c>
      <c r="I16" s="248">
        <f t="shared" si="0"/>
        <v>0</v>
      </c>
    </row>
    <row r="17" spans="1:9" ht="25.5" customHeight="1">
      <c r="A17" s="368" t="s">
        <v>839</v>
      </c>
      <c r="B17" s="530" t="s">
        <v>840</v>
      </c>
      <c r="C17" s="485">
        <v>116.6</v>
      </c>
      <c r="D17" s="501">
        <v>295000</v>
      </c>
      <c r="E17" s="501">
        <f>C17*D17</f>
        <v>34397000</v>
      </c>
      <c r="F17" s="485">
        <v>116</v>
      </c>
      <c r="G17" s="501">
        <v>295000</v>
      </c>
      <c r="H17" s="501">
        <f>F17*G17</f>
        <v>34220000</v>
      </c>
      <c r="I17" s="248">
        <f t="shared" si="0"/>
        <v>177000</v>
      </c>
    </row>
    <row r="18" spans="1:9" ht="25.5" customHeight="1">
      <c r="A18" s="534" t="s">
        <v>832</v>
      </c>
      <c r="B18" s="530"/>
      <c r="C18" s="485"/>
      <c r="D18" s="501"/>
      <c r="E18" s="501">
        <v>5310626</v>
      </c>
      <c r="F18" s="485"/>
      <c r="G18" s="501"/>
      <c r="H18" s="501">
        <v>0</v>
      </c>
      <c r="I18" s="248">
        <f t="shared" si="0"/>
        <v>5310626</v>
      </c>
    </row>
    <row r="19" spans="1:9" ht="25.5" customHeight="1">
      <c r="A19" s="537" t="s">
        <v>841</v>
      </c>
      <c r="B19" s="538"/>
      <c r="C19" s="539"/>
      <c r="D19" s="540"/>
      <c r="E19" s="541">
        <f>E11+E13+E15+E17</f>
        <v>274150832</v>
      </c>
      <c r="F19" s="539"/>
      <c r="G19" s="540"/>
      <c r="H19" s="541">
        <f>H11+H13+H15+H17</f>
        <v>270043302</v>
      </c>
      <c r="I19" s="542">
        <f t="shared" si="0"/>
        <v>4107530</v>
      </c>
    </row>
    <row r="20" spans="1:9" ht="25.5" customHeight="1">
      <c r="A20" s="543" t="s">
        <v>832</v>
      </c>
      <c r="B20" s="538"/>
      <c r="C20" s="544"/>
      <c r="D20" s="541"/>
      <c r="E20" s="541">
        <f>E12+E14+E16+E18</f>
        <v>5310626</v>
      </c>
      <c r="F20" s="544"/>
      <c r="G20" s="541"/>
      <c r="H20" s="541">
        <f>H12+H14+H16+H18</f>
        <v>0</v>
      </c>
      <c r="I20" s="542">
        <f t="shared" si="0"/>
        <v>5310626</v>
      </c>
    </row>
    <row r="21" spans="1:9" ht="25.5" customHeight="1">
      <c r="A21" s="545" t="s">
        <v>842</v>
      </c>
      <c r="B21" s="530" t="s">
        <v>843</v>
      </c>
      <c r="C21" s="501">
        <v>30155</v>
      </c>
      <c r="D21" s="501">
        <v>2700</v>
      </c>
      <c r="E21" s="501">
        <f>C21*D21</f>
        <v>81418500</v>
      </c>
      <c r="F21" s="501">
        <v>30271</v>
      </c>
      <c r="G21" s="501">
        <v>2700</v>
      </c>
      <c r="H21" s="501">
        <f>F21*G21</f>
        <v>81731700</v>
      </c>
      <c r="I21" s="248">
        <f t="shared" si="0"/>
        <v>-313200</v>
      </c>
    </row>
    <row r="22" spans="1:9" ht="25.5" customHeight="1">
      <c r="A22" s="545" t="s">
        <v>844</v>
      </c>
      <c r="B22" s="530"/>
      <c r="C22" s="501"/>
      <c r="D22" s="501"/>
      <c r="E22" s="501">
        <v>0</v>
      </c>
      <c r="F22" s="501"/>
      <c r="G22" s="501"/>
      <c r="H22" s="501">
        <v>0</v>
      </c>
      <c r="I22" s="248">
        <f t="shared" si="0"/>
        <v>0</v>
      </c>
    </row>
    <row r="23" spans="1:9" ht="25.5" customHeight="1">
      <c r="A23" s="546" t="s">
        <v>845</v>
      </c>
      <c r="B23" s="530" t="s">
        <v>846</v>
      </c>
      <c r="C23" s="501">
        <v>4503</v>
      </c>
      <c r="D23" s="501">
        <v>2550</v>
      </c>
      <c r="E23" s="501">
        <f>C23*D23</f>
        <v>11482650</v>
      </c>
      <c r="F23" s="501">
        <v>4446</v>
      </c>
      <c r="G23" s="501">
        <v>2550</v>
      </c>
      <c r="H23" s="501">
        <f>F23*G23</f>
        <v>11337300</v>
      </c>
      <c r="I23" s="248">
        <f t="shared" si="0"/>
        <v>145350</v>
      </c>
    </row>
    <row r="24" spans="1:9" ht="25.5" customHeight="1">
      <c r="A24" s="534" t="s">
        <v>832</v>
      </c>
      <c r="B24" s="530"/>
      <c r="C24" s="501"/>
      <c r="D24" s="501"/>
      <c r="E24" s="501">
        <v>0</v>
      </c>
      <c r="F24" s="501"/>
      <c r="G24" s="501"/>
      <c r="H24" s="501">
        <v>0</v>
      </c>
      <c r="I24" s="248">
        <f t="shared" si="0"/>
        <v>0</v>
      </c>
    </row>
    <row r="25" spans="1:9" ht="25.5" customHeight="1">
      <c r="A25" s="546" t="s">
        <v>847</v>
      </c>
      <c r="B25" s="530" t="s">
        <v>848</v>
      </c>
      <c r="C25" s="501">
        <v>665400</v>
      </c>
      <c r="D25" s="533">
        <v>1</v>
      </c>
      <c r="E25" s="501">
        <f>C25*D25</f>
        <v>665400</v>
      </c>
      <c r="F25" s="501">
        <v>382500</v>
      </c>
      <c r="G25" s="533">
        <v>1</v>
      </c>
      <c r="H25" s="501">
        <f>F25*G25</f>
        <v>382500</v>
      </c>
      <c r="I25" s="248">
        <f t="shared" si="0"/>
        <v>282900</v>
      </c>
    </row>
    <row r="26" spans="1:9" ht="25.5" customHeight="1">
      <c r="A26" s="534" t="s">
        <v>832</v>
      </c>
      <c r="B26" s="530"/>
      <c r="C26" s="501"/>
      <c r="D26" s="533"/>
      <c r="E26" s="501">
        <v>665400</v>
      </c>
      <c r="F26" s="501"/>
      <c r="G26" s="533"/>
      <c r="H26" s="501">
        <v>0</v>
      </c>
      <c r="I26" s="248">
        <f t="shared" si="0"/>
        <v>665400</v>
      </c>
    </row>
    <row r="27" spans="1:9" ht="25.5" customHeight="1">
      <c r="A27" s="47" t="s">
        <v>849</v>
      </c>
      <c r="B27" s="530"/>
      <c r="C27" s="501"/>
      <c r="D27" s="533"/>
      <c r="E27" s="501">
        <f>E8+E9+E11+E13+E15+E17+E21+E23+E25</f>
        <v>616915182</v>
      </c>
      <c r="F27" s="501"/>
      <c r="G27" s="533"/>
      <c r="H27" s="501">
        <f>H8+H11+H13+H15+H17+H21+H23+H25</f>
        <v>612692602</v>
      </c>
      <c r="I27" s="248">
        <f t="shared" si="0"/>
        <v>4222580</v>
      </c>
    </row>
    <row r="28" spans="1:9" ht="25.5" customHeight="1">
      <c r="A28" s="47" t="s">
        <v>934</v>
      </c>
      <c r="B28" s="534" t="s">
        <v>935</v>
      </c>
      <c r="C28" s="548">
        <v>79179476304</v>
      </c>
      <c r="D28" s="549">
        <f>-0.55%</f>
        <v>-5.5000000000000005E-3</v>
      </c>
      <c r="E28" s="501">
        <f>-'[1]Számítások tény'!C23</f>
        <v>-361741356.48473299</v>
      </c>
      <c r="F28" s="548">
        <v>84873145207</v>
      </c>
      <c r="G28" s="549">
        <f>-0.558129135%*0.877364595</f>
        <v>-4.8968274248697534E-3</v>
      </c>
      <c r="H28" s="501">
        <f>F28*G28</f>
        <v>-415609145.08459044</v>
      </c>
      <c r="I28" s="248">
        <f t="shared" si="0"/>
        <v>53867788.59985745</v>
      </c>
    </row>
    <row r="29" spans="1:9" ht="25.5" customHeight="1">
      <c r="A29" s="574" t="s">
        <v>850</v>
      </c>
      <c r="B29" s="534"/>
      <c r="C29" s="548"/>
      <c r="D29" s="550"/>
      <c r="E29" s="501">
        <f>SUM(E27:E28)</f>
        <v>255173825.51526701</v>
      </c>
      <c r="F29" s="548"/>
      <c r="G29" s="550"/>
      <c r="H29" s="501">
        <f>SUM(H27:H28)</f>
        <v>197083456.91540956</v>
      </c>
      <c r="I29" s="248"/>
    </row>
    <row r="30" spans="1:9" ht="25.5" customHeight="1">
      <c r="A30" s="368" t="s">
        <v>851</v>
      </c>
      <c r="B30" s="530" t="s">
        <v>852</v>
      </c>
      <c r="C30" s="501">
        <v>100</v>
      </c>
      <c r="D30" s="501">
        <v>100</v>
      </c>
      <c r="E30" s="501">
        <f>C30*D30</f>
        <v>10000</v>
      </c>
      <c r="F30" s="501">
        <v>100</v>
      </c>
      <c r="G30" s="501">
        <v>100</v>
      </c>
      <c r="H30" s="501">
        <f>F30*G30</f>
        <v>10000</v>
      </c>
      <c r="I30" s="248">
        <f>E30-H30</f>
        <v>0</v>
      </c>
    </row>
    <row r="31" spans="1:9" s="271" customFormat="1" ht="25.5" customHeight="1">
      <c r="A31" s="551" t="s">
        <v>853</v>
      </c>
      <c r="B31" s="526"/>
      <c r="C31" s="355"/>
      <c r="D31" s="41"/>
      <c r="E31" s="41">
        <f>E10+E20+E22+E24+E26+E30</f>
        <v>255183826</v>
      </c>
      <c r="F31" s="355"/>
      <c r="G31" s="41"/>
      <c r="H31" s="41">
        <f>H10+H20+H22+H24+H26+H30</f>
        <v>197093456.91540956</v>
      </c>
      <c r="I31" s="41">
        <f>E31-H31</f>
        <v>58090369.084590435</v>
      </c>
    </row>
    <row r="32" spans="1:9" ht="31.5" customHeight="1">
      <c r="A32" s="552" t="s">
        <v>854</v>
      </c>
      <c r="B32" s="530" t="s">
        <v>337</v>
      </c>
      <c r="C32" s="501"/>
      <c r="D32" s="248"/>
      <c r="E32" s="248"/>
      <c r="F32" s="501"/>
      <c r="G32" s="248"/>
      <c r="H32" s="248"/>
      <c r="I32" s="248"/>
    </row>
    <row r="33" spans="1:9" ht="25.5" customHeight="1">
      <c r="A33" s="553" t="s">
        <v>855</v>
      </c>
      <c r="B33" s="530" t="s">
        <v>856</v>
      </c>
      <c r="C33" s="486"/>
      <c r="D33" s="248"/>
      <c r="E33" s="183"/>
      <c r="F33" s="486"/>
      <c r="G33" s="248"/>
      <c r="H33" s="183"/>
      <c r="I33" s="486"/>
    </row>
    <row r="34" spans="1:9" ht="25.5" customHeight="1">
      <c r="A34" s="554" t="s">
        <v>857</v>
      </c>
      <c r="B34" s="530"/>
      <c r="C34" s="486"/>
      <c r="D34" s="248"/>
      <c r="E34" s="542">
        <f>SUM(E35:E37)</f>
        <v>316496600.00000006</v>
      </c>
      <c r="F34" s="486"/>
      <c r="G34" s="248"/>
      <c r="H34" s="542">
        <f>SUM(H35:H37)</f>
        <v>304693550</v>
      </c>
      <c r="I34" s="542">
        <f>E34-H34</f>
        <v>11803050.00000006</v>
      </c>
    </row>
    <row r="35" spans="1:9" ht="25.5" customHeight="1">
      <c r="A35" s="555" t="s">
        <v>936</v>
      </c>
      <c r="B35" s="530" t="s">
        <v>858</v>
      </c>
      <c r="C35" s="535">
        <v>72.400000000000006</v>
      </c>
      <c r="D35" s="248">
        <v>4371500</v>
      </c>
      <c r="E35" s="248">
        <f>C35*8/12*D35</f>
        <v>210997733.33333337</v>
      </c>
      <c r="F35" s="535">
        <v>69.7</v>
      </c>
      <c r="G35" s="248">
        <v>4371500</v>
      </c>
      <c r="H35" s="248">
        <f>F35*8/12*G35</f>
        <v>203129033.33333334</v>
      </c>
      <c r="I35" s="248">
        <f t="shared" ref="I35:I52" si="1">E35-H35</f>
        <v>7868700.0000000298</v>
      </c>
    </row>
    <row r="36" spans="1:9" ht="25.5" customHeight="1">
      <c r="A36" s="554" t="s">
        <v>937</v>
      </c>
      <c r="B36" s="530" t="s">
        <v>859</v>
      </c>
      <c r="C36" s="535">
        <v>72.400000000000006</v>
      </c>
      <c r="D36" s="248">
        <v>4371500</v>
      </c>
      <c r="E36" s="248">
        <f>C36*4/12*D36</f>
        <v>105498866.66666669</v>
      </c>
      <c r="F36" s="535">
        <v>69.7</v>
      </c>
      <c r="G36" s="248">
        <v>4371500</v>
      </c>
      <c r="H36" s="248">
        <f>F36*4/12*G36</f>
        <v>101564516.66666667</v>
      </c>
      <c r="I36" s="248">
        <f t="shared" si="1"/>
        <v>3934350.0000000149</v>
      </c>
    </row>
    <row r="37" spans="1:9" ht="25.5" customHeight="1">
      <c r="A37" s="554" t="s">
        <v>860</v>
      </c>
      <c r="B37" s="530"/>
      <c r="C37" s="535"/>
      <c r="D37" s="501"/>
      <c r="E37" s="501">
        <v>0</v>
      </c>
      <c r="F37" s="535"/>
      <c r="G37" s="501"/>
      <c r="H37" s="501">
        <v>0</v>
      </c>
      <c r="I37" s="248">
        <f t="shared" si="1"/>
        <v>0</v>
      </c>
    </row>
    <row r="38" spans="1:9" ht="25.5" customHeight="1">
      <c r="A38" s="537" t="s">
        <v>861</v>
      </c>
      <c r="B38" s="530"/>
      <c r="C38" s="486"/>
      <c r="D38" s="248"/>
      <c r="E38" s="542">
        <f>SUM(E39:E40)</f>
        <v>115200000</v>
      </c>
      <c r="F38" s="486"/>
      <c r="G38" s="248"/>
      <c r="H38" s="542">
        <f>SUM(H39:H40)</f>
        <v>105840000</v>
      </c>
      <c r="I38" s="542">
        <f t="shared" si="1"/>
        <v>9360000</v>
      </c>
    </row>
    <row r="39" spans="1:9" ht="25.5" customHeight="1">
      <c r="A39" s="555" t="s">
        <v>936</v>
      </c>
      <c r="B39" s="530" t="s">
        <v>862</v>
      </c>
      <c r="C39" s="485">
        <v>48</v>
      </c>
      <c r="D39" s="248">
        <v>2400000</v>
      </c>
      <c r="E39" s="248">
        <f>C39*8/12*D39</f>
        <v>76800000</v>
      </c>
      <c r="F39" s="485">
        <v>48</v>
      </c>
      <c r="G39" s="248">
        <v>2205000</v>
      </c>
      <c r="H39" s="248">
        <f>F39*8/12*G39</f>
        <v>70560000</v>
      </c>
      <c r="I39" s="248">
        <f t="shared" si="1"/>
        <v>6240000</v>
      </c>
    </row>
    <row r="40" spans="1:9" ht="25.5" customHeight="1">
      <c r="A40" s="554" t="s">
        <v>937</v>
      </c>
      <c r="B40" s="530" t="s">
        <v>863</v>
      </c>
      <c r="C40" s="485">
        <v>48</v>
      </c>
      <c r="D40" s="248">
        <v>2400000</v>
      </c>
      <c r="E40" s="248">
        <f>C40*4/12*D40</f>
        <v>38400000</v>
      </c>
      <c r="F40" s="485">
        <v>48</v>
      </c>
      <c r="G40" s="248">
        <v>2205000</v>
      </c>
      <c r="H40" s="248">
        <f>F40*4/12*G40</f>
        <v>35280000</v>
      </c>
      <c r="I40" s="248">
        <f t="shared" si="1"/>
        <v>3120000</v>
      </c>
    </row>
    <row r="41" spans="1:9" ht="25.5" customHeight="1">
      <c r="A41" s="556" t="s">
        <v>864</v>
      </c>
      <c r="B41" s="530" t="s">
        <v>865</v>
      </c>
      <c r="C41" s="486"/>
      <c r="D41" s="248"/>
      <c r="E41" s="542">
        <f>SUM(E42:E43)</f>
        <v>80355000</v>
      </c>
      <c r="F41" s="486"/>
      <c r="G41" s="248"/>
      <c r="H41" s="542">
        <f>SUM(H42:H43)</f>
        <v>77822600</v>
      </c>
      <c r="I41" s="542">
        <f t="shared" si="1"/>
        <v>2532400</v>
      </c>
    </row>
    <row r="42" spans="1:9" ht="25.5" customHeight="1">
      <c r="A42" s="555" t="s">
        <v>936</v>
      </c>
      <c r="B42" s="530" t="s">
        <v>866</v>
      </c>
      <c r="C42" s="485">
        <v>825</v>
      </c>
      <c r="D42" s="501">
        <v>97400</v>
      </c>
      <c r="E42" s="248">
        <f>C42*8/12*D42</f>
        <v>53570000</v>
      </c>
      <c r="F42" s="485">
        <v>799</v>
      </c>
      <c r="G42" s="501">
        <v>97400</v>
      </c>
      <c r="H42" s="248">
        <f>F42*8/12*G42</f>
        <v>51881733.333333328</v>
      </c>
      <c r="I42" s="248">
        <f t="shared" si="1"/>
        <v>1688266.6666666716</v>
      </c>
    </row>
    <row r="43" spans="1:9" ht="25.5" customHeight="1">
      <c r="A43" s="554" t="s">
        <v>937</v>
      </c>
      <c r="B43" s="530" t="s">
        <v>867</v>
      </c>
      <c r="C43" s="485">
        <v>825</v>
      </c>
      <c r="D43" s="501">
        <v>97400</v>
      </c>
      <c r="E43" s="248">
        <f>C43*4/12*D43</f>
        <v>26785000</v>
      </c>
      <c r="F43" s="485">
        <v>799</v>
      </c>
      <c r="G43" s="501">
        <v>97400</v>
      </c>
      <c r="H43" s="248">
        <f>F43*4/12*G43</f>
        <v>25940866.666666664</v>
      </c>
      <c r="I43" s="248">
        <f t="shared" si="1"/>
        <v>844133.33333333582</v>
      </c>
    </row>
    <row r="44" spans="1:9" ht="25.5" hidden="1" customHeight="1">
      <c r="A44" s="47" t="s">
        <v>868</v>
      </c>
      <c r="B44" s="557"/>
      <c r="C44" s="501"/>
      <c r="D44" s="558"/>
      <c r="E44" s="559">
        <v>0</v>
      </c>
      <c r="F44" s="501"/>
      <c r="G44" s="558"/>
      <c r="H44" s="559">
        <v>0</v>
      </c>
      <c r="I44" s="248">
        <f t="shared" si="1"/>
        <v>0</v>
      </c>
    </row>
    <row r="45" spans="1:9" ht="25.5" customHeight="1">
      <c r="A45" s="537" t="s">
        <v>869</v>
      </c>
      <c r="B45" s="538" t="s">
        <v>870</v>
      </c>
      <c r="C45" s="486"/>
      <c r="D45" s="248"/>
      <c r="E45" s="542">
        <f>SUM(E46:E51)</f>
        <v>14119900</v>
      </c>
      <c r="F45" s="486"/>
      <c r="G45" s="248"/>
      <c r="H45" s="542">
        <f>SUM(H46:H51)</f>
        <v>14516600</v>
      </c>
      <c r="I45" s="542">
        <f t="shared" si="1"/>
        <v>-396700</v>
      </c>
    </row>
    <row r="46" spans="1:9" ht="25.5" customHeight="1">
      <c r="A46" s="47" t="s">
        <v>938</v>
      </c>
      <c r="B46" s="530" t="s">
        <v>871</v>
      </c>
      <c r="C46" s="485">
        <v>21</v>
      </c>
      <c r="D46" s="248">
        <v>396700</v>
      </c>
      <c r="E46" s="501">
        <f>C46*D46</f>
        <v>8330700</v>
      </c>
      <c r="F46" s="485">
        <v>22</v>
      </c>
      <c r="G46" s="248">
        <v>396700</v>
      </c>
      <c r="H46" s="501">
        <f>F46*G46</f>
        <v>8727400</v>
      </c>
      <c r="I46" s="248">
        <f t="shared" si="1"/>
        <v>-396700</v>
      </c>
    </row>
    <row r="47" spans="1:9" ht="25.5" customHeight="1">
      <c r="A47" s="47" t="s">
        <v>939</v>
      </c>
      <c r="B47" s="530" t="s">
        <v>872</v>
      </c>
      <c r="C47" s="485">
        <v>0</v>
      </c>
      <c r="D47" s="248">
        <v>363642</v>
      </c>
      <c r="E47" s="501">
        <f>C47*D47</f>
        <v>0</v>
      </c>
      <c r="F47" s="485">
        <v>0</v>
      </c>
      <c r="G47" s="248">
        <v>363642</v>
      </c>
      <c r="H47" s="501">
        <f>F47*G47</f>
        <v>0</v>
      </c>
      <c r="I47" s="248">
        <f t="shared" si="1"/>
        <v>0</v>
      </c>
    </row>
    <row r="48" spans="1:9" ht="25.5" customHeight="1">
      <c r="A48" s="47" t="s">
        <v>940</v>
      </c>
      <c r="B48" s="530" t="s">
        <v>873</v>
      </c>
      <c r="C48" s="485">
        <v>4</v>
      </c>
      <c r="D48" s="248">
        <v>1447300</v>
      </c>
      <c r="E48" s="501">
        <f>C48*D48</f>
        <v>5789200</v>
      </c>
      <c r="F48" s="485">
        <v>4</v>
      </c>
      <c r="G48" s="248">
        <v>1447300</v>
      </c>
      <c r="H48" s="501">
        <f>F48*G48</f>
        <v>5789200</v>
      </c>
      <c r="I48" s="248">
        <f t="shared" si="1"/>
        <v>0</v>
      </c>
    </row>
    <row r="49" spans="1:9" ht="25.5" customHeight="1">
      <c r="A49" s="47" t="s">
        <v>941</v>
      </c>
      <c r="B49" s="530" t="s">
        <v>874</v>
      </c>
      <c r="C49" s="486"/>
      <c r="D49" s="248">
        <v>1326692</v>
      </c>
      <c r="E49" s="501">
        <f>C49*D49</f>
        <v>0</v>
      </c>
      <c r="F49" s="486"/>
      <c r="G49" s="248">
        <v>1326692</v>
      </c>
      <c r="H49" s="501">
        <f>F49*G49</f>
        <v>0</v>
      </c>
      <c r="I49" s="248">
        <f t="shared" si="1"/>
        <v>0</v>
      </c>
    </row>
    <row r="50" spans="1:9" ht="25.5" hidden="1" customHeight="1">
      <c r="A50" s="47" t="s">
        <v>875</v>
      </c>
      <c r="B50" s="530" t="s">
        <v>876</v>
      </c>
      <c r="C50" s="486"/>
      <c r="D50" s="248"/>
      <c r="E50" s="501"/>
      <c r="F50" s="486"/>
      <c r="G50" s="248"/>
      <c r="H50" s="501"/>
      <c r="I50" s="248">
        <f t="shared" si="1"/>
        <v>0</v>
      </c>
    </row>
    <row r="51" spans="1:9" ht="25.5" hidden="1" customHeight="1">
      <c r="A51" s="47" t="s">
        <v>877</v>
      </c>
      <c r="B51" s="530" t="s">
        <v>878</v>
      </c>
      <c r="C51" s="486"/>
      <c r="D51" s="248"/>
      <c r="E51" s="501"/>
      <c r="F51" s="486"/>
      <c r="G51" s="248"/>
      <c r="H51" s="501"/>
      <c r="I51" s="248">
        <f t="shared" si="1"/>
        <v>0</v>
      </c>
    </row>
    <row r="52" spans="1:9" ht="25.5" customHeight="1">
      <c r="A52" s="551" t="s">
        <v>853</v>
      </c>
      <c r="B52" s="534"/>
      <c r="C52" s="248"/>
      <c r="D52" s="248"/>
      <c r="E52" s="41">
        <f>E34+E38+E41+E44+E45</f>
        <v>526171500.00000006</v>
      </c>
      <c r="F52" s="248"/>
      <c r="G52" s="248"/>
      <c r="H52" s="41">
        <f>H34+H38+H41+H44+H45</f>
        <v>502872750</v>
      </c>
      <c r="I52" s="41">
        <f t="shared" si="1"/>
        <v>23298750.00000006</v>
      </c>
    </row>
    <row r="53" spans="1:9" ht="47.25">
      <c r="A53" s="194" t="s">
        <v>879</v>
      </c>
      <c r="B53" s="534"/>
      <c r="C53" s="248"/>
      <c r="D53" s="248"/>
      <c r="E53" s="248"/>
      <c r="F53" s="248"/>
      <c r="G53" s="248"/>
      <c r="H53" s="248"/>
      <c r="I53" s="248"/>
    </row>
    <row r="54" spans="1:9" ht="25.5" hidden="1" customHeight="1">
      <c r="A54" s="368" t="s">
        <v>880</v>
      </c>
      <c r="B54" s="534" t="s">
        <v>881</v>
      </c>
      <c r="C54" s="248"/>
      <c r="D54" s="501"/>
      <c r="E54" s="501">
        <v>0</v>
      </c>
      <c r="F54" s="248"/>
      <c r="G54" s="501"/>
      <c r="H54" s="501">
        <v>0</v>
      </c>
      <c r="I54" s="248">
        <f>E54-H54</f>
        <v>0</v>
      </c>
    </row>
    <row r="55" spans="1:9" ht="25.5" hidden="1" customHeight="1">
      <c r="A55" s="368"/>
      <c r="B55" s="534"/>
      <c r="C55" s="248"/>
      <c r="D55" s="501"/>
      <c r="E55" s="248"/>
      <c r="F55" s="248"/>
      <c r="G55" s="501"/>
      <c r="H55" s="248"/>
      <c r="I55" s="248"/>
    </row>
    <row r="56" spans="1:9" ht="35.450000000000003" customHeight="1">
      <c r="A56" s="556" t="s">
        <v>882</v>
      </c>
      <c r="B56" s="534" t="s">
        <v>942</v>
      </c>
      <c r="C56" s="248"/>
      <c r="D56" s="248"/>
      <c r="E56" s="542">
        <f>SUM(E57:E73)</f>
        <v>254446686</v>
      </c>
      <c r="F56" s="248"/>
      <c r="G56" s="248"/>
      <c r="H56" s="542">
        <f>SUM(H57:H73)</f>
        <v>221529140</v>
      </c>
      <c r="I56" s="542">
        <f t="shared" ref="I56:I91" si="2">E56-H56</f>
        <v>32917546</v>
      </c>
    </row>
    <row r="57" spans="1:9" ht="25.5" customHeight="1">
      <c r="A57" s="546" t="s">
        <v>943</v>
      </c>
      <c r="B57" s="534" t="s">
        <v>944</v>
      </c>
      <c r="C57" s="536">
        <v>3.8</v>
      </c>
      <c r="D57" s="248">
        <v>3400000</v>
      </c>
      <c r="E57" s="248">
        <f>C57*D57/12*12</f>
        <v>12920000</v>
      </c>
      <c r="F57" s="536">
        <v>3.8</v>
      </c>
      <c r="G57" s="248">
        <v>3400000</v>
      </c>
      <c r="H57" s="248">
        <f t="shared" ref="H57:H60" si="3">F57*G57</f>
        <v>12920000</v>
      </c>
      <c r="I57" s="670">
        <f>E57+E58-H57</f>
        <v>0</v>
      </c>
    </row>
    <row r="58" spans="1:9" ht="25.5" customHeight="1">
      <c r="A58" s="546" t="s">
        <v>945</v>
      </c>
      <c r="B58" s="534" t="s">
        <v>944</v>
      </c>
      <c r="C58" s="536">
        <v>3.8</v>
      </c>
      <c r="D58" s="248">
        <v>3780000</v>
      </c>
      <c r="E58" s="248">
        <f>C58*D58/12*0</f>
        <v>0</v>
      </c>
      <c r="F58" s="536"/>
      <c r="G58" s="248"/>
      <c r="H58" s="248"/>
      <c r="I58" s="670"/>
    </row>
    <row r="59" spans="1:9" ht="25.5" customHeight="1">
      <c r="A59" s="546" t="s">
        <v>883</v>
      </c>
      <c r="B59" s="534" t="s">
        <v>946</v>
      </c>
      <c r="C59" s="536">
        <v>6.6</v>
      </c>
      <c r="D59" s="248">
        <v>3300000</v>
      </c>
      <c r="E59" s="248">
        <f t="shared" ref="E59:E72" si="4">C59*D59</f>
        <v>21780000</v>
      </c>
      <c r="F59" s="536">
        <v>6.6</v>
      </c>
      <c r="G59" s="248">
        <v>3300000</v>
      </c>
      <c r="H59" s="248">
        <f t="shared" si="3"/>
        <v>21780000</v>
      </c>
      <c r="I59" s="248">
        <f t="shared" si="2"/>
        <v>0</v>
      </c>
    </row>
    <row r="60" spans="1:9" ht="25.5" customHeight="1">
      <c r="A60" s="545" t="s">
        <v>884</v>
      </c>
      <c r="B60" s="534" t="s">
        <v>947</v>
      </c>
      <c r="C60" s="485">
        <v>295</v>
      </c>
      <c r="D60" s="248">
        <v>65360</v>
      </c>
      <c r="E60" s="248">
        <f t="shared" si="4"/>
        <v>19281200</v>
      </c>
      <c r="F60" s="485">
        <v>290</v>
      </c>
      <c r="G60" s="248">
        <v>55360</v>
      </c>
      <c r="H60" s="248">
        <f t="shared" si="3"/>
        <v>16054400</v>
      </c>
      <c r="I60" s="248">
        <f t="shared" si="2"/>
        <v>3226800</v>
      </c>
    </row>
    <row r="61" spans="1:9" ht="21.95" customHeight="1">
      <c r="A61" s="545" t="s">
        <v>885</v>
      </c>
      <c r="B61" s="534"/>
      <c r="C61" s="486"/>
      <c r="D61" s="248"/>
      <c r="E61" s="248"/>
      <c r="F61" s="486"/>
      <c r="G61" s="248"/>
      <c r="H61" s="248"/>
      <c r="I61" s="248"/>
    </row>
    <row r="62" spans="1:9" ht="21.95" customHeight="1">
      <c r="A62" s="555" t="s">
        <v>886</v>
      </c>
      <c r="B62" s="534" t="s">
        <v>948</v>
      </c>
      <c r="C62" s="485">
        <v>5</v>
      </c>
      <c r="D62" s="248">
        <v>25000</v>
      </c>
      <c r="E62" s="248">
        <f t="shared" si="4"/>
        <v>125000</v>
      </c>
      <c r="F62" s="485">
        <v>5</v>
      </c>
      <c r="G62" s="248">
        <v>25000</v>
      </c>
      <c r="H62" s="248">
        <f t="shared" ref="H62:H67" si="5">F62*G62</f>
        <v>125000</v>
      </c>
      <c r="I62" s="248">
        <f t="shared" si="2"/>
        <v>0</v>
      </c>
    </row>
    <row r="63" spans="1:9" ht="21.95" customHeight="1">
      <c r="A63" s="555" t="s">
        <v>887</v>
      </c>
      <c r="B63" s="534" t="s">
        <v>949</v>
      </c>
      <c r="C63" s="485">
        <v>50</v>
      </c>
      <c r="D63" s="248">
        <v>330000</v>
      </c>
      <c r="E63" s="248">
        <f t="shared" si="4"/>
        <v>16500000</v>
      </c>
      <c r="F63" s="485">
        <v>52</v>
      </c>
      <c r="G63" s="248">
        <v>330000</v>
      </c>
      <c r="H63" s="248">
        <f t="shared" si="5"/>
        <v>17160000</v>
      </c>
      <c r="I63" s="248">
        <f t="shared" si="2"/>
        <v>-660000</v>
      </c>
    </row>
    <row r="64" spans="1:9" ht="21.95" customHeight="1">
      <c r="A64" s="545" t="s">
        <v>888</v>
      </c>
      <c r="B64" s="534" t="s">
        <v>950</v>
      </c>
      <c r="C64" s="486">
        <v>4</v>
      </c>
      <c r="D64" s="248">
        <v>4250000</v>
      </c>
      <c r="E64" s="248">
        <f t="shared" si="4"/>
        <v>17000000</v>
      </c>
      <c r="F64" s="486">
        <v>4</v>
      </c>
      <c r="G64" s="248">
        <v>3100000</v>
      </c>
      <c r="H64" s="248">
        <f t="shared" si="5"/>
        <v>12400000</v>
      </c>
      <c r="I64" s="248">
        <f t="shared" si="2"/>
        <v>4600000</v>
      </c>
    </row>
    <row r="65" spans="1:9" ht="21.95" customHeight="1">
      <c r="A65" s="545" t="s">
        <v>889</v>
      </c>
      <c r="B65" s="534" t="s">
        <v>951</v>
      </c>
      <c r="C65" s="486">
        <v>30</v>
      </c>
      <c r="D65" s="248">
        <v>190000</v>
      </c>
      <c r="E65" s="248">
        <f t="shared" si="4"/>
        <v>5700000</v>
      </c>
      <c r="F65" s="486">
        <v>30</v>
      </c>
      <c r="G65" s="248">
        <v>109000</v>
      </c>
      <c r="H65" s="248">
        <f t="shared" si="5"/>
        <v>3270000</v>
      </c>
      <c r="I65" s="248">
        <f t="shared" si="2"/>
        <v>2430000</v>
      </c>
    </row>
    <row r="66" spans="1:9" ht="21.95" customHeight="1">
      <c r="A66" s="545" t="s">
        <v>890</v>
      </c>
      <c r="B66" s="534" t="s">
        <v>952</v>
      </c>
      <c r="C66" s="486">
        <v>40</v>
      </c>
      <c r="D66" s="248">
        <v>689000</v>
      </c>
      <c r="E66" s="248">
        <f t="shared" si="4"/>
        <v>27560000</v>
      </c>
      <c r="F66" s="486">
        <v>40</v>
      </c>
      <c r="G66" s="248">
        <v>500000</v>
      </c>
      <c r="H66" s="248">
        <f t="shared" si="5"/>
        <v>20000000</v>
      </c>
      <c r="I66" s="248">
        <f t="shared" si="2"/>
        <v>7560000</v>
      </c>
    </row>
    <row r="67" spans="1:9" ht="21.95" customHeight="1">
      <c r="A67" s="545" t="s">
        <v>891</v>
      </c>
      <c r="B67" s="534" t="s">
        <v>953</v>
      </c>
      <c r="C67" s="486">
        <v>120</v>
      </c>
      <c r="D67" s="248">
        <v>239100</v>
      </c>
      <c r="E67" s="248">
        <f t="shared" si="4"/>
        <v>28692000</v>
      </c>
      <c r="F67" s="486">
        <v>120</v>
      </c>
      <c r="G67" s="248">
        <v>206100</v>
      </c>
      <c r="H67" s="248">
        <f t="shared" si="5"/>
        <v>24732000</v>
      </c>
      <c r="I67" s="248">
        <f t="shared" si="2"/>
        <v>3960000</v>
      </c>
    </row>
    <row r="68" spans="1:9" ht="21.95" hidden="1" customHeight="1">
      <c r="A68" s="545" t="s">
        <v>892</v>
      </c>
      <c r="B68" s="534" t="s">
        <v>893</v>
      </c>
      <c r="C68" s="486"/>
      <c r="D68" s="248"/>
      <c r="E68" s="248"/>
      <c r="F68" s="486"/>
      <c r="G68" s="248"/>
      <c r="H68" s="248"/>
      <c r="I68" s="248">
        <f t="shared" si="2"/>
        <v>0</v>
      </c>
    </row>
    <row r="69" spans="1:9" ht="21.95" hidden="1" customHeight="1">
      <c r="A69" s="545" t="s">
        <v>894</v>
      </c>
      <c r="B69" s="534" t="s">
        <v>895</v>
      </c>
      <c r="C69" s="486"/>
      <c r="D69" s="248"/>
      <c r="E69" s="248"/>
      <c r="F69" s="486"/>
      <c r="G69" s="248"/>
      <c r="H69" s="248"/>
      <c r="I69" s="248">
        <f t="shared" si="2"/>
        <v>0</v>
      </c>
    </row>
    <row r="70" spans="1:9" ht="21.95" hidden="1" customHeight="1">
      <c r="A70" s="545" t="s">
        <v>896</v>
      </c>
      <c r="B70" s="534" t="s">
        <v>897</v>
      </c>
      <c r="C70" s="486"/>
      <c r="D70" s="248"/>
      <c r="E70" s="248"/>
      <c r="F70" s="486"/>
      <c r="G70" s="248"/>
      <c r="H70" s="248"/>
      <c r="I70" s="248">
        <f t="shared" si="2"/>
        <v>0</v>
      </c>
    </row>
    <row r="71" spans="1:9" ht="21.95" hidden="1" customHeight="1">
      <c r="A71" s="545" t="s">
        <v>898</v>
      </c>
      <c r="B71" s="534" t="s">
        <v>899</v>
      </c>
      <c r="C71" s="486"/>
      <c r="D71" s="248"/>
      <c r="E71" s="248"/>
      <c r="F71" s="486"/>
      <c r="G71" s="248"/>
      <c r="H71" s="248"/>
      <c r="I71" s="248">
        <f t="shared" si="2"/>
        <v>0</v>
      </c>
    </row>
    <row r="72" spans="1:9" ht="21.95" customHeight="1">
      <c r="A72" s="545" t="s">
        <v>900</v>
      </c>
      <c r="B72" s="534" t="s">
        <v>954</v>
      </c>
      <c r="C72" s="486">
        <v>139</v>
      </c>
      <c r="D72" s="248">
        <v>569350</v>
      </c>
      <c r="E72" s="248">
        <f t="shared" si="4"/>
        <v>79139650</v>
      </c>
      <c r="F72" s="486">
        <v>139</v>
      </c>
      <c r="G72" s="248">
        <v>490000</v>
      </c>
      <c r="H72" s="248">
        <f t="shared" ref="H72" si="6">F72*G72</f>
        <v>68110000</v>
      </c>
      <c r="I72" s="248">
        <f t="shared" si="2"/>
        <v>11029650</v>
      </c>
    </row>
    <row r="73" spans="1:9" ht="21.95" customHeight="1">
      <c r="A73" s="545" t="s">
        <v>901</v>
      </c>
      <c r="B73" s="534" t="s">
        <v>955</v>
      </c>
      <c r="C73" s="486"/>
      <c r="D73" s="248"/>
      <c r="E73" s="501">
        <v>25748836</v>
      </c>
      <c r="F73" s="486"/>
      <c r="G73" s="248"/>
      <c r="H73" s="501">
        <v>24977740</v>
      </c>
      <c r="I73" s="248">
        <f t="shared" si="2"/>
        <v>771096</v>
      </c>
    </row>
    <row r="74" spans="1:9" ht="35.450000000000003" customHeight="1">
      <c r="A74" s="563" t="s">
        <v>919</v>
      </c>
      <c r="B74" s="543" t="s">
        <v>956</v>
      </c>
      <c r="C74" s="501"/>
      <c r="D74" s="248"/>
      <c r="E74" s="541">
        <f>SUM(E75:E76)</f>
        <v>130673500</v>
      </c>
      <c r="F74" s="501"/>
      <c r="G74" s="248"/>
      <c r="H74" s="541">
        <f>SUM(H75:H76)</f>
        <v>129509400</v>
      </c>
      <c r="I74" s="542">
        <f>E74-H74</f>
        <v>1164100</v>
      </c>
    </row>
    <row r="75" spans="1:9" ht="21.95" customHeight="1">
      <c r="A75" s="47" t="s">
        <v>920</v>
      </c>
      <c r="B75" s="543"/>
      <c r="C75" s="564">
        <v>30.5</v>
      </c>
      <c r="D75" s="248">
        <v>2993000</v>
      </c>
      <c r="E75" s="248">
        <f>C75*D75</f>
        <v>91286500</v>
      </c>
      <c r="F75" s="564">
        <v>29.8</v>
      </c>
      <c r="G75" s="248">
        <v>2993000</v>
      </c>
      <c r="H75" s="248">
        <f>F75*G75</f>
        <v>89191400</v>
      </c>
      <c r="I75" s="248">
        <f>E75-H75</f>
        <v>2095100</v>
      </c>
    </row>
    <row r="76" spans="1:9" ht="21.95" customHeight="1">
      <c r="A76" s="47" t="s">
        <v>921</v>
      </c>
      <c r="B76" s="543"/>
      <c r="C76" s="564"/>
      <c r="D76" s="248"/>
      <c r="E76" s="501">
        <v>39387000</v>
      </c>
      <c r="F76" s="564"/>
      <c r="G76" s="248"/>
      <c r="H76" s="501">
        <v>40318000</v>
      </c>
      <c r="I76" s="248">
        <f>E76-H76</f>
        <v>-931000</v>
      </c>
    </row>
    <row r="77" spans="1:9" ht="35.450000000000003" customHeight="1">
      <c r="A77" s="553" t="s">
        <v>902</v>
      </c>
      <c r="B77" s="534" t="s">
        <v>903</v>
      </c>
      <c r="C77" s="486"/>
      <c r="D77" s="248"/>
      <c r="E77" s="542">
        <f>E78+E82</f>
        <v>317051888</v>
      </c>
      <c r="F77" s="486"/>
      <c r="G77" s="248"/>
      <c r="H77" s="542">
        <f>H78+H82</f>
        <v>244884000</v>
      </c>
      <c r="I77" s="542">
        <f t="shared" si="2"/>
        <v>72167888</v>
      </c>
    </row>
    <row r="78" spans="1:9" ht="25.5" customHeight="1">
      <c r="A78" s="47" t="s">
        <v>904</v>
      </c>
      <c r="B78" s="534" t="s">
        <v>905</v>
      </c>
      <c r="C78" s="486">
        <v>57.2</v>
      </c>
      <c r="D78" s="248">
        <v>3858040</v>
      </c>
      <c r="E78" s="248">
        <f>C78*D78</f>
        <v>220679888</v>
      </c>
      <c r="F78" s="486">
        <v>58.25</v>
      </c>
      <c r="G78" s="248">
        <v>2848000</v>
      </c>
      <c r="H78" s="248">
        <f>F78*G78</f>
        <v>165896000</v>
      </c>
      <c r="I78" s="248">
        <f t="shared" si="2"/>
        <v>54783888</v>
      </c>
    </row>
    <row r="79" spans="1:9" ht="25.5" customHeight="1">
      <c r="A79" s="560" t="s">
        <v>906</v>
      </c>
      <c r="B79" s="534"/>
      <c r="C79" s="545">
        <v>48</v>
      </c>
      <c r="D79" s="561">
        <v>3858040</v>
      </c>
      <c r="E79" s="561">
        <f t="shared" ref="E79:E81" si="7">C79*D79</f>
        <v>185185920</v>
      </c>
      <c r="F79" s="545">
        <v>48</v>
      </c>
      <c r="G79" s="561">
        <v>2848000</v>
      </c>
      <c r="H79" s="561">
        <f t="shared" ref="H79:H81" si="8">F79*G79</f>
        <v>136704000</v>
      </c>
      <c r="I79" s="561">
        <f t="shared" si="2"/>
        <v>48481920</v>
      </c>
    </row>
    <row r="80" spans="1:9" ht="25.5" customHeight="1">
      <c r="A80" s="560" t="s">
        <v>907</v>
      </c>
      <c r="B80" s="534"/>
      <c r="C80" s="545">
        <v>9</v>
      </c>
      <c r="D80" s="561">
        <v>3858040</v>
      </c>
      <c r="E80" s="561">
        <f t="shared" si="7"/>
        <v>34722360</v>
      </c>
      <c r="F80" s="545">
        <v>10</v>
      </c>
      <c r="G80" s="561">
        <v>2848000</v>
      </c>
      <c r="H80" s="561">
        <f t="shared" si="8"/>
        <v>28480000</v>
      </c>
      <c r="I80" s="561">
        <f t="shared" si="2"/>
        <v>6242360</v>
      </c>
    </row>
    <row r="81" spans="1:9" ht="25.5" customHeight="1">
      <c r="A81" s="560" t="s">
        <v>908</v>
      </c>
      <c r="B81" s="534"/>
      <c r="C81" s="545">
        <v>0.2</v>
      </c>
      <c r="D81" s="561">
        <v>3858040</v>
      </c>
      <c r="E81" s="561">
        <f t="shared" si="7"/>
        <v>771608</v>
      </c>
      <c r="F81" s="545">
        <v>0.25</v>
      </c>
      <c r="G81" s="561">
        <v>2848000</v>
      </c>
      <c r="H81" s="561">
        <f t="shared" si="8"/>
        <v>712000</v>
      </c>
      <c r="I81" s="561">
        <f t="shared" si="2"/>
        <v>59608</v>
      </c>
    </row>
    <row r="82" spans="1:9" ht="25.5" customHeight="1">
      <c r="A82" s="47" t="s">
        <v>909</v>
      </c>
      <c r="B82" s="530" t="s">
        <v>910</v>
      </c>
      <c r="C82" s="248"/>
      <c r="D82" s="248"/>
      <c r="E82" s="501">
        <f>SUM(E83:E84)</f>
        <v>96372000</v>
      </c>
      <c r="F82" s="248"/>
      <c r="G82" s="248"/>
      <c r="H82" s="501">
        <v>78988000</v>
      </c>
      <c r="I82" s="248">
        <f t="shared" si="2"/>
        <v>17384000</v>
      </c>
    </row>
    <row r="83" spans="1:9" ht="25.5" customHeight="1">
      <c r="A83" s="560" t="s">
        <v>906</v>
      </c>
      <c r="B83" s="534"/>
      <c r="C83" s="545"/>
      <c r="D83" s="561"/>
      <c r="E83" s="562">
        <f>'[1]Intézményi ktgv'!F109</f>
        <v>77591000</v>
      </c>
      <c r="F83" s="545"/>
      <c r="G83" s="561"/>
      <c r="H83" s="562">
        <v>65997970</v>
      </c>
      <c r="I83" s="561">
        <f t="shared" si="2"/>
        <v>11593030</v>
      </c>
    </row>
    <row r="84" spans="1:9" ht="25.5" customHeight="1">
      <c r="A84" s="560" t="s">
        <v>911</v>
      </c>
      <c r="B84" s="534"/>
      <c r="C84" s="545"/>
      <c r="D84" s="561"/>
      <c r="E84" s="562">
        <f>'[1]Intézményi ktgv'!F149</f>
        <v>18781000</v>
      </c>
      <c r="F84" s="545"/>
      <c r="G84" s="561"/>
      <c r="H84" s="562">
        <v>12990030</v>
      </c>
      <c r="I84" s="561">
        <f t="shared" si="2"/>
        <v>5790970</v>
      </c>
    </row>
    <row r="85" spans="1:9" ht="35.450000000000003" customHeight="1">
      <c r="A85" s="556" t="s">
        <v>912</v>
      </c>
      <c r="B85" s="530"/>
      <c r="C85" s="486"/>
      <c r="D85" s="248"/>
      <c r="E85" s="541">
        <f>SUM(E86:E89)</f>
        <v>233531478</v>
      </c>
      <c r="F85" s="486"/>
      <c r="G85" s="248"/>
      <c r="H85" s="541">
        <f>SUM(H86:H89)</f>
        <v>211090294</v>
      </c>
      <c r="I85" s="542">
        <f t="shared" si="2"/>
        <v>22441184</v>
      </c>
    </row>
    <row r="86" spans="1:9" ht="21.95" customHeight="1">
      <c r="A86" s="546" t="s">
        <v>913</v>
      </c>
      <c r="B86" s="534" t="s">
        <v>914</v>
      </c>
      <c r="C86" s="533">
        <v>54.26</v>
      </c>
      <c r="D86" s="248">
        <v>2200000</v>
      </c>
      <c r="E86" s="501">
        <f>C86*D86</f>
        <v>119372000</v>
      </c>
      <c r="F86" s="533">
        <v>54.13</v>
      </c>
      <c r="G86" s="248">
        <v>1900000</v>
      </c>
      <c r="H86" s="501">
        <f>F86*G86</f>
        <v>102847000</v>
      </c>
      <c r="I86" s="248">
        <f t="shared" si="2"/>
        <v>16525000</v>
      </c>
    </row>
    <row r="87" spans="1:9" ht="24" hidden="1" customHeight="1">
      <c r="A87" s="47" t="s">
        <v>915</v>
      </c>
      <c r="B87" s="534"/>
      <c r="C87" s="485"/>
      <c r="D87" s="248"/>
      <c r="E87" s="501"/>
      <c r="F87" s="485"/>
      <c r="G87" s="248"/>
      <c r="H87" s="501"/>
      <c r="I87" s="248"/>
    </row>
    <row r="88" spans="1:9" ht="21.95" customHeight="1">
      <c r="A88" s="546" t="s">
        <v>916</v>
      </c>
      <c r="B88" s="534" t="s">
        <v>917</v>
      </c>
      <c r="C88" s="547"/>
      <c r="D88" s="248"/>
      <c r="E88" s="276">
        <v>112129366</v>
      </c>
      <c r="F88" s="547"/>
      <c r="G88" s="248"/>
      <c r="H88" s="276">
        <v>105678978</v>
      </c>
      <c r="I88" s="248">
        <f t="shared" si="2"/>
        <v>6450388</v>
      </c>
    </row>
    <row r="89" spans="1:9" ht="21.95" customHeight="1">
      <c r="A89" s="546" t="s">
        <v>918</v>
      </c>
      <c r="B89" s="534" t="s">
        <v>957</v>
      </c>
      <c r="C89" s="501">
        <v>5936</v>
      </c>
      <c r="D89" s="248">
        <v>342</v>
      </c>
      <c r="E89" s="501">
        <f>C89*D89</f>
        <v>2030112</v>
      </c>
      <c r="F89" s="501">
        <v>7498</v>
      </c>
      <c r="G89" s="248">
        <v>342</v>
      </c>
      <c r="H89" s="501">
        <f>F89*G89</f>
        <v>2564316</v>
      </c>
      <c r="I89" s="248">
        <f t="shared" si="2"/>
        <v>-534204</v>
      </c>
    </row>
    <row r="90" spans="1:9" ht="21.95" customHeight="1">
      <c r="A90" s="551" t="s">
        <v>853</v>
      </c>
      <c r="B90" s="530"/>
      <c r="C90" s="248"/>
      <c r="D90" s="248"/>
      <c r="E90" s="355">
        <f>E54+E57+E59+E60+E61+E62+E63+E64+E65+E66+E67+E72+E73+E78+E82+E86+E87+E88+E89+E75+E76</f>
        <v>935703552</v>
      </c>
      <c r="F90" s="248"/>
      <c r="G90" s="248"/>
      <c r="H90" s="355">
        <f>H54+H57+H59+H60+H61+H62+H63+H64+H65+H66+H67+H72+H73+H78+H82+H86+H87+H88+H89+H75+H76</f>
        <v>807012834</v>
      </c>
      <c r="I90" s="41">
        <f t="shared" si="2"/>
        <v>128690718</v>
      </c>
    </row>
    <row r="91" spans="1:9" ht="21.95" customHeight="1">
      <c r="A91" s="551" t="s">
        <v>922</v>
      </c>
      <c r="B91" s="530"/>
      <c r="C91" s="248"/>
      <c r="D91" s="248"/>
      <c r="E91" s="41">
        <f>E31+E52+E90</f>
        <v>1717058878</v>
      </c>
      <c r="F91" s="248"/>
      <c r="G91" s="248"/>
      <c r="H91" s="41">
        <f>H31+H52+H90</f>
        <v>1506979040.9154096</v>
      </c>
      <c r="I91" s="41">
        <f t="shared" si="2"/>
        <v>210079837.08459044</v>
      </c>
    </row>
    <row r="92" spans="1:9" ht="30" customHeight="1">
      <c r="A92" s="194" t="s">
        <v>923</v>
      </c>
      <c r="B92" s="530"/>
      <c r="C92" s="248"/>
      <c r="D92" s="248"/>
      <c r="E92" s="41"/>
      <c r="F92" s="248"/>
      <c r="G92" s="248"/>
      <c r="H92" s="41"/>
      <c r="I92" s="248"/>
    </row>
    <row r="93" spans="1:9" ht="25.5">
      <c r="A93" s="47" t="s">
        <v>924</v>
      </c>
      <c r="B93" s="530" t="s">
        <v>958</v>
      </c>
      <c r="C93" s="501">
        <v>30155</v>
      </c>
      <c r="D93" s="248">
        <v>1251</v>
      </c>
      <c r="E93" s="501">
        <f>C93*D93</f>
        <v>37723905</v>
      </c>
      <c r="F93" s="501">
        <v>30271</v>
      </c>
      <c r="G93" s="248">
        <v>1210</v>
      </c>
      <c r="H93" s="501">
        <f>F93*G93</f>
        <v>36627910</v>
      </c>
      <c r="I93" s="248">
        <f>E93-H93</f>
        <v>1095995</v>
      </c>
    </row>
    <row r="94" spans="1:9" ht="25.5">
      <c r="A94" s="47" t="s">
        <v>925</v>
      </c>
      <c r="B94" s="530" t="s">
        <v>959</v>
      </c>
      <c r="C94" s="248"/>
      <c r="D94" s="248"/>
      <c r="E94" s="559">
        <v>20757000</v>
      </c>
      <c r="F94" s="248"/>
      <c r="G94" s="248"/>
      <c r="H94" s="559">
        <v>20757000</v>
      </c>
      <c r="I94" s="248">
        <f>E94-H94</f>
        <v>0</v>
      </c>
    </row>
    <row r="95" spans="1:9" ht="25.5" hidden="1" customHeight="1">
      <c r="A95" s="47" t="s">
        <v>926</v>
      </c>
      <c r="B95" s="530" t="s">
        <v>927</v>
      </c>
      <c r="C95" s="248"/>
      <c r="D95" s="248"/>
      <c r="E95" s="565" t="s">
        <v>928</v>
      </c>
      <c r="F95" s="248"/>
      <c r="G95" s="248"/>
      <c r="H95" s="565" t="s">
        <v>928</v>
      </c>
      <c r="I95" s="248"/>
    </row>
    <row r="96" spans="1:9" ht="21.75" customHeight="1">
      <c r="A96" s="551" t="s">
        <v>853</v>
      </c>
      <c r="B96" s="530"/>
      <c r="C96" s="248"/>
      <c r="D96" s="248"/>
      <c r="E96" s="41">
        <f>SUM(E93:E94)</f>
        <v>58480905</v>
      </c>
      <c r="F96" s="248"/>
      <c r="G96" s="248"/>
      <c r="H96" s="41">
        <f>SUM(H93:H94)</f>
        <v>57384910</v>
      </c>
      <c r="I96" s="41">
        <f>E96-H96</f>
        <v>1095995</v>
      </c>
    </row>
    <row r="97" spans="1:9" s="271" customFormat="1" ht="25.5" customHeight="1">
      <c r="A97" s="566" t="s">
        <v>929</v>
      </c>
      <c r="B97" s="567"/>
      <c r="C97" s="552"/>
      <c r="D97" s="32"/>
      <c r="E97" s="32">
        <f>E31+E52+E90+E96</f>
        <v>1775539783</v>
      </c>
      <c r="F97" s="552"/>
      <c r="G97" s="32"/>
      <c r="H97" s="32">
        <f>H31+H52+H90+H96</f>
        <v>1564363950.9154096</v>
      </c>
      <c r="I97" s="41">
        <f>E97-H97</f>
        <v>211175832.08459044</v>
      </c>
    </row>
    <row r="98" spans="1:9">
      <c r="A98" s="568"/>
      <c r="C98" s="569"/>
      <c r="E98" s="95"/>
      <c r="H98" s="95"/>
    </row>
    <row r="99" spans="1:9">
      <c r="D99" s="95" t="s">
        <v>336</v>
      </c>
      <c r="E99" s="95">
        <v>255183826</v>
      </c>
    </row>
    <row r="100" spans="1:9">
      <c r="D100" s="95" t="s">
        <v>337</v>
      </c>
      <c r="E100" s="95">
        <v>526171500</v>
      </c>
    </row>
    <row r="101" spans="1:9">
      <c r="D101" s="95" t="s">
        <v>338</v>
      </c>
      <c r="E101" s="95">
        <v>935703552</v>
      </c>
    </row>
    <row r="102" spans="1:9">
      <c r="D102" s="95" t="s">
        <v>339</v>
      </c>
      <c r="E102" s="95">
        <v>37723905</v>
      </c>
    </row>
    <row r="103" spans="1:9">
      <c r="E103" s="95">
        <f>SUM(E99:E102)</f>
        <v>1754782783</v>
      </c>
    </row>
  </sheetData>
  <mergeCells count="7">
    <mergeCell ref="I57:I58"/>
    <mergeCell ref="H1:I1"/>
    <mergeCell ref="I8:I9"/>
    <mergeCell ref="A2:I2"/>
    <mergeCell ref="C5:E5"/>
    <mergeCell ref="F5:H5"/>
    <mergeCell ref="A3:I3"/>
  </mergeCells>
  <printOptions horizontalCentered="1" verticalCentered="1"/>
  <pageMargins left="0.70866141732283472" right="0.70866141732283472" top="0.35433070866141736" bottom="0.35433070866141736" header="0.31496062992125984" footer="0.31496062992125984"/>
  <pageSetup paperSize="9" scale="6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D68"/>
  <sheetViews>
    <sheetView view="pageBreakPreview" zoomScaleNormal="100" zoomScaleSheetLayoutView="100" workbookViewId="0">
      <selection activeCell="BI10" sqref="BI10"/>
    </sheetView>
  </sheetViews>
  <sheetFormatPr defaultRowHeight="15.75"/>
  <cols>
    <col min="1" max="1" width="41.28515625" style="185" customWidth="1"/>
    <col min="2" max="3" width="13.28515625" style="95" customWidth="1"/>
    <col min="4" max="16" width="13.28515625" style="95" hidden="1" customWidth="1"/>
    <col min="17" max="17" width="13.28515625" style="95" customWidth="1"/>
    <col min="18" max="18" width="15.5703125" style="95" customWidth="1"/>
    <col min="19" max="19" width="39.85546875" style="95" customWidth="1"/>
    <col min="20" max="20" width="13.85546875" style="95" hidden="1" customWidth="1"/>
    <col min="21" max="31" width="15" style="95" hidden="1" customWidth="1"/>
    <col min="32" max="39" width="12.85546875" style="95" hidden="1" customWidth="1"/>
    <col min="40" max="40" width="12.85546875" style="95" customWidth="1"/>
    <col min="41" max="41" width="13.5703125" style="95" customWidth="1"/>
    <col min="42" max="54" width="12.85546875" style="95" hidden="1" customWidth="1"/>
    <col min="55" max="55" width="12.85546875" style="95" customWidth="1"/>
    <col min="56" max="56" width="14.5703125" style="95" customWidth="1"/>
  </cols>
  <sheetData>
    <row r="1" spans="1:56">
      <c r="A1" s="197" t="s">
        <v>228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439"/>
      <c r="AP1" s="439"/>
      <c r="AR1" s="515"/>
      <c r="BB1" s="676" t="s">
        <v>802</v>
      </c>
      <c r="BC1" s="676"/>
      <c r="BD1" s="676"/>
    </row>
    <row r="2" spans="1:56" ht="16.5">
      <c r="A2" s="677" t="s">
        <v>805</v>
      </c>
      <c r="B2" s="677"/>
      <c r="C2" s="677"/>
      <c r="D2" s="677"/>
      <c r="E2" s="677"/>
      <c r="F2" s="677"/>
      <c r="G2" s="677"/>
      <c r="H2" s="677"/>
      <c r="I2" s="677"/>
      <c r="J2" s="677"/>
      <c r="K2" s="677"/>
      <c r="L2" s="677"/>
      <c r="M2" s="677"/>
      <c r="N2" s="677"/>
      <c r="O2" s="677"/>
      <c r="P2" s="677"/>
      <c r="Q2" s="677"/>
      <c r="R2" s="677"/>
      <c r="S2" s="677"/>
      <c r="T2" s="677"/>
      <c r="U2" s="677"/>
      <c r="V2" s="677"/>
      <c r="W2" s="677"/>
      <c r="X2" s="677"/>
      <c r="Y2" s="677"/>
      <c r="Z2" s="677"/>
      <c r="AA2" s="677"/>
      <c r="AB2" s="677"/>
      <c r="AC2" s="677"/>
      <c r="AD2" s="677"/>
      <c r="AE2" s="677"/>
      <c r="AF2" s="677"/>
      <c r="AG2" s="677"/>
      <c r="AH2" s="677"/>
      <c r="AI2" s="677"/>
      <c r="AJ2" s="677"/>
      <c r="AK2" s="677"/>
      <c r="AL2" s="677"/>
      <c r="AM2" s="677"/>
      <c r="AN2" s="677"/>
      <c r="AO2" s="677"/>
      <c r="AP2" s="677"/>
      <c r="AQ2" s="677"/>
      <c r="AR2" s="677"/>
      <c r="AS2" s="677"/>
      <c r="AT2" s="677"/>
      <c r="AU2" s="677"/>
      <c r="AV2" s="677"/>
      <c r="AW2" s="677"/>
      <c r="AX2" s="677"/>
      <c r="AY2" s="677"/>
      <c r="AZ2" s="677"/>
      <c r="BA2" s="677"/>
      <c r="BB2" s="677"/>
      <c r="BC2" s="677"/>
      <c r="BD2" s="677"/>
    </row>
    <row r="3" spans="1:56">
      <c r="T3" s="98"/>
      <c r="V3" s="98"/>
      <c r="X3" s="98"/>
      <c r="Z3" s="98"/>
      <c r="AB3" s="98"/>
      <c r="AD3" s="98"/>
      <c r="AF3" s="98"/>
      <c r="AG3" s="98"/>
      <c r="AH3" s="98"/>
      <c r="AJ3" s="98"/>
      <c r="AL3" s="98"/>
      <c r="AP3" s="98"/>
      <c r="AR3" s="98"/>
      <c r="AT3" s="98"/>
      <c r="AV3" s="98"/>
      <c r="AX3" s="98"/>
      <c r="AZ3" s="98"/>
      <c r="BB3" s="98"/>
      <c r="BD3" s="98" t="s">
        <v>119</v>
      </c>
    </row>
    <row r="4" spans="1:56">
      <c r="A4" s="186" t="s">
        <v>2</v>
      </c>
      <c r="B4" s="594">
        <v>2018</v>
      </c>
      <c r="C4" s="678">
        <v>2019</v>
      </c>
      <c r="D4" s="678"/>
      <c r="E4" s="678"/>
      <c r="F4" s="678"/>
      <c r="G4" s="678"/>
      <c r="H4" s="678"/>
      <c r="I4" s="678"/>
      <c r="J4" s="678"/>
      <c r="K4" s="678"/>
      <c r="L4" s="678"/>
      <c r="M4" s="678"/>
      <c r="N4" s="678"/>
      <c r="O4" s="678"/>
      <c r="P4" s="678"/>
      <c r="Q4" s="678"/>
      <c r="R4" s="595">
        <v>2020</v>
      </c>
      <c r="S4" s="371" t="s">
        <v>3</v>
      </c>
      <c r="T4" s="679" t="s">
        <v>803</v>
      </c>
      <c r="U4" s="500" t="s">
        <v>557</v>
      </c>
      <c r="V4" s="500" t="s">
        <v>556</v>
      </c>
      <c r="W4" s="500" t="s">
        <v>557</v>
      </c>
      <c r="X4" s="500" t="s">
        <v>556</v>
      </c>
      <c r="Y4" s="500" t="s">
        <v>557</v>
      </c>
      <c r="Z4" s="500" t="s">
        <v>556</v>
      </c>
      <c r="AA4" s="500" t="s">
        <v>557</v>
      </c>
      <c r="AB4" s="500" t="s">
        <v>556</v>
      </c>
      <c r="AC4" s="500" t="s">
        <v>557</v>
      </c>
      <c r="AD4" s="500" t="s">
        <v>556</v>
      </c>
      <c r="AE4" s="500" t="s">
        <v>557</v>
      </c>
      <c r="AF4" s="500" t="s">
        <v>556</v>
      </c>
      <c r="AG4" s="500" t="s">
        <v>557</v>
      </c>
      <c r="AH4" s="500" t="s">
        <v>557</v>
      </c>
      <c r="AI4" s="500" t="s">
        <v>557</v>
      </c>
      <c r="AJ4" s="500" t="s">
        <v>556</v>
      </c>
      <c r="AK4" s="500" t="s">
        <v>557</v>
      </c>
      <c r="AL4" s="500" t="s">
        <v>556</v>
      </c>
      <c r="AM4" s="500" t="s">
        <v>557</v>
      </c>
      <c r="AN4" s="594">
        <v>2018</v>
      </c>
      <c r="AO4" s="678">
        <v>2019</v>
      </c>
      <c r="AP4" s="678"/>
      <c r="AQ4" s="678"/>
      <c r="AR4" s="678"/>
      <c r="AS4" s="678"/>
      <c r="AT4" s="678"/>
      <c r="AU4" s="678"/>
      <c r="AV4" s="678"/>
      <c r="AW4" s="678"/>
      <c r="AX4" s="678"/>
      <c r="AY4" s="678"/>
      <c r="AZ4" s="678"/>
      <c r="BA4" s="678"/>
      <c r="BB4" s="678"/>
      <c r="BC4" s="678"/>
      <c r="BD4" s="595">
        <v>2020</v>
      </c>
    </row>
    <row r="5" spans="1:56">
      <c r="A5" s="187" t="s">
        <v>4</v>
      </c>
      <c r="B5" s="500" t="s">
        <v>804</v>
      </c>
      <c r="C5" s="220" t="s">
        <v>5</v>
      </c>
      <c r="D5" s="220"/>
      <c r="E5" s="220"/>
      <c r="F5" s="220" t="s">
        <v>6</v>
      </c>
      <c r="G5" s="220" t="s">
        <v>7</v>
      </c>
      <c r="H5" s="220" t="s">
        <v>6</v>
      </c>
      <c r="I5" s="220" t="s">
        <v>7</v>
      </c>
      <c r="J5" s="220" t="s">
        <v>6</v>
      </c>
      <c r="K5" s="220" t="s">
        <v>7</v>
      </c>
      <c r="L5" s="220" t="s">
        <v>6</v>
      </c>
      <c r="M5" s="220" t="s">
        <v>7</v>
      </c>
      <c r="N5" s="220" t="s">
        <v>6</v>
      </c>
      <c r="O5" s="220" t="s">
        <v>7</v>
      </c>
      <c r="P5" s="220" t="s">
        <v>6</v>
      </c>
      <c r="Q5" s="220" t="s">
        <v>645</v>
      </c>
      <c r="R5" s="220" t="s">
        <v>646</v>
      </c>
      <c r="S5" s="100" t="s">
        <v>4</v>
      </c>
      <c r="T5" s="679"/>
      <c r="U5" s="500" t="s">
        <v>7</v>
      </c>
      <c r="V5" s="500" t="s">
        <v>6</v>
      </c>
      <c r="W5" s="500" t="s">
        <v>7</v>
      </c>
      <c r="X5" s="500" t="s">
        <v>6</v>
      </c>
      <c r="Y5" s="500" t="s">
        <v>7</v>
      </c>
      <c r="Z5" s="500" t="s">
        <v>6</v>
      </c>
      <c r="AA5" s="500" t="s">
        <v>7</v>
      </c>
      <c r="AB5" s="500" t="s">
        <v>6</v>
      </c>
      <c r="AC5" s="500" t="s">
        <v>7</v>
      </c>
      <c r="AD5" s="500" t="s">
        <v>6</v>
      </c>
      <c r="AE5" s="500" t="s">
        <v>7</v>
      </c>
      <c r="AF5" s="500" t="s">
        <v>6</v>
      </c>
      <c r="AG5" s="500" t="s">
        <v>7</v>
      </c>
      <c r="AH5" s="500" t="s">
        <v>7</v>
      </c>
      <c r="AI5" s="500" t="s">
        <v>7</v>
      </c>
      <c r="AJ5" s="500" t="s">
        <v>6</v>
      </c>
      <c r="AK5" s="500" t="s">
        <v>7</v>
      </c>
      <c r="AL5" s="500" t="s">
        <v>6</v>
      </c>
      <c r="AM5" s="500" t="s">
        <v>7</v>
      </c>
      <c r="AN5" s="500" t="s">
        <v>804</v>
      </c>
      <c r="AO5" s="220" t="s">
        <v>5</v>
      </c>
      <c r="AP5" s="220"/>
      <c r="AQ5" s="220"/>
      <c r="AR5" s="220" t="s">
        <v>6</v>
      </c>
      <c r="AS5" s="220" t="s">
        <v>7</v>
      </c>
      <c r="AT5" s="220" t="s">
        <v>6</v>
      </c>
      <c r="AU5" s="220" t="s">
        <v>7</v>
      </c>
      <c r="AV5" s="220" t="s">
        <v>6</v>
      </c>
      <c r="AW5" s="220" t="s">
        <v>7</v>
      </c>
      <c r="AX5" s="220" t="s">
        <v>6</v>
      </c>
      <c r="AY5" s="220" t="s">
        <v>7</v>
      </c>
      <c r="AZ5" s="220" t="s">
        <v>6</v>
      </c>
      <c r="BA5" s="220" t="s">
        <v>7</v>
      </c>
      <c r="BB5" s="220" t="s">
        <v>6</v>
      </c>
      <c r="BC5" s="220" t="s">
        <v>645</v>
      </c>
      <c r="BD5" s="220" t="s">
        <v>646</v>
      </c>
    </row>
    <row r="6" spans="1:56" ht="31.5">
      <c r="A6" s="40" t="s">
        <v>9</v>
      </c>
      <c r="B6" s="41">
        <v>1759153</v>
      </c>
      <c r="C6" s="41">
        <v>1967876</v>
      </c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>
        <v>2366418</v>
      </c>
      <c r="R6" s="41">
        <f>kv.mérleg!U6</f>
        <v>2116986</v>
      </c>
      <c r="S6" s="194" t="s">
        <v>10</v>
      </c>
      <c r="T6" s="41" t="e">
        <f>#REF!</f>
        <v>#REF!</v>
      </c>
      <c r="U6" s="41" t="e">
        <f>#REF!</f>
        <v>#REF!</v>
      </c>
      <c r="V6" s="41" t="e">
        <f>#REF!</f>
        <v>#REF!</v>
      </c>
      <c r="W6" s="41" t="e">
        <f>#REF!</f>
        <v>#REF!</v>
      </c>
      <c r="X6" s="41" t="e">
        <f>#REF!</f>
        <v>#REF!</v>
      </c>
      <c r="Y6" s="41" t="e">
        <f>#REF!</f>
        <v>#REF!</v>
      </c>
      <c r="Z6" s="41" t="e">
        <f>#REF!</f>
        <v>#REF!</v>
      </c>
      <c r="AA6" s="41" t="e">
        <f>#REF!</f>
        <v>#REF!</v>
      </c>
      <c r="AB6" s="41" t="e">
        <f>#REF!</f>
        <v>#REF!</v>
      </c>
      <c r="AC6" s="41" t="e">
        <f>#REF!</f>
        <v>#REF!</v>
      </c>
      <c r="AD6" s="41" t="e">
        <f>#REF!</f>
        <v>#REF!</v>
      </c>
      <c r="AE6" s="41" t="e">
        <f>#REF!</f>
        <v>#REF!</v>
      </c>
      <c r="AF6" s="41" t="e">
        <f>#REF!</f>
        <v>#REF!</v>
      </c>
      <c r="AG6" s="41" t="e">
        <f>#REF!</f>
        <v>#REF!</v>
      </c>
      <c r="AH6" s="41" t="e">
        <f>#REF!</f>
        <v>#REF!</v>
      </c>
      <c r="AI6" s="41" t="e">
        <f>#REF!</f>
        <v>#REF!</v>
      </c>
      <c r="AJ6" s="41" t="e">
        <f>#REF!</f>
        <v>#REF!</v>
      </c>
      <c r="AK6" s="41" t="e">
        <f>#REF!</f>
        <v>#REF!</v>
      </c>
      <c r="AL6" s="41" t="e">
        <f>#REF!</f>
        <v>#REF!</v>
      </c>
      <c r="AM6" s="41" t="e">
        <f>#REF!</f>
        <v>#REF!</v>
      </c>
      <c r="AN6" s="41">
        <v>2097319</v>
      </c>
      <c r="AO6" s="41">
        <v>2123129</v>
      </c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/>
      <c r="BB6" s="41"/>
      <c r="BC6" s="41">
        <v>2258696</v>
      </c>
      <c r="BD6" s="41">
        <f>kv.mérleg!AR6</f>
        <v>2212552</v>
      </c>
    </row>
    <row r="7" spans="1:56" ht="31.5">
      <c r="A7" s="32" t="s">
        <v>36</v>
      </c>
      <c r="B7" s="41">
        <v>12002</v>
      </c>
      <c r="C7" s="41">
        <v>1657096</v>
      </c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>
        <v>2283175</v>
      </c>
      <c r="R7" s="41">
        <f>kv.mérleg!U7</f>
        <v>712209</v>
      </c>
      <c r="S7" s="32" t="s">
        <v>12</v>
      </c>
      <c r="T7" s="41" t="e">
        <f>#REF!</f>
        <v>#REF!</v>
      </c>
      <c r="U7" s="41" t="e">
        <f>#REF!</f>
        <v>#REF!</v>
      </c>
      <c r="V7" s="41" t="e">
        <f>#REF!</f>
        <v>#REF!</v>
      </c>
      <c r="W7" s="41" t="e">
        <f>#REF!</f>
        <v>#REF!</v>
      </c>
      <c r="X7" s="41" t="e">
        <f>#REF!</f>
        <v>#REF!</v>
      </c>
      <c r="Y7" s="41" t="e">
        <f>#REF!</f>
        <v>#REF!</v>
      </c>
      <c r="Z7" s="41" t="e">
        <f>#REF!</f>
        <v>#REF!</v>
      </c>
      <c r="AA7" s="41" t="e">
        <f>#REF!</f>
        <v>#REF!</v>
      </c>
      <c r="AB7" s="41" t="e">
        <f>#REF!</f>
        <v>#REF!</v>
      </c>
      <c r="AC7" s="41" t="e">
        <f>#REF!</f>
        <v>#REF!</v>
      </c>
      <c r="AD7" s="41" t="e">
        <f>#REF!</f>
        <v>#REF!</v>
      </c>
      <c r="AE7" s="41" t="e">
        <f>#REF!</f>
        <v>#REF!</v>
      </c>
      <c r="AF7" s="41" t="e">
        <f>#REF!</f>
        <v>#REF!</v>
      </c>
      <c r="AG7" s="41" t="e">
        <f>#REF!</f>
        <v>#REF!</v>
      </c>
      <c r="AH7" s="41" t="e">
        <f>#REF!</f>
        <v>#REF!</v>
      </c>
      <c r="AI7" s="41" t="e">
        <f>#REF!</f>
        <v>#REF!</v>
      </c>
      <c r="AJ7" s="41" t="e">
        <f>#REF!</f>
        <v>#REF!</v>
      </c>
      <c r="AK7" s="41" t="e">
        <f>#REF!</f>
        <v>#REF!</v>
      </c>
      <c r="AL7" s="41" t="e">
        <f>#REF!</f>
        <v>#REF!</v>
      </c>
      <c r="AM7" s="41" t="e">
        <f>#REF!</f>
        <v>#REF!</v>
      </c>
      <c r="AN7" s="41">
        <v>409709.4</v>
      </c>
      <c r="AO7" s="41">
        <v>407970</v>
      </c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>
        <v>432370</v>
      </c>
      <c r="BD7" s="41">
        <f>kv.mérleg!AR7</f>
        <v>389049</v>
      </c>
    </row>
    <row r="8" spans="1:56">
      <c r="A8" s="103" t="s">
        <v>45</v>
      </c>
      <c r="B8" s="102">
        <v>1846635</v>
      </c>
      <c r="C8" s="102">
        <v>2050415</v>
      </c>
      <c r="D8" s="102"/>
      <c r="E8" s="102"/>
      <c r="F8" s="102"/>
      <c r="G8" s="102"/>
      <c r="H8" s="102"/>
      <c r="I8" s="102"/>
      <c r="J8" s="102"/>
      <c r="K8" s="102"/>
      <c r="L8" s="102"/>
      <c r="M8" s="102"/>
      <c r="N8" s="102"/>
      <c r="O8" s="102"/>
      <c r="P8" s="102"/>
      <c r="Q8" s="102">
        <v>2082115</v>
      </c>
      <c r="R8" s="41">
        <f>kv.mérleg!U8</f>
        <v>2124850</v>
      </c>
      <c r="S8" s="103" t="s">
        <v>14</v>
      </c>
      <c r="T8" s="102" t="e">
        <f>#REF!</f>
        <v>#REF!</v>
      </c>
      <c r="U8" s="102" t="e">
        <f>#REF!</f>
        <v>#REF!</v>
      </c>
      <c r="V8" s="102" t="e">
        <f>#REF!</f>
        <v>#REF!</v>
      </c>
      <c r="W8" s="102" t="e">
        <f>#REF!</f>
        <v>#REF!</v>
      </c>
      <c r="X8" s="102" t="e">
        <f>#REF!</f>
        <v>#REF!</v>
      </c>
      <c r="Y8" s="102" t="e">
        <f>#REF!</f>
        <v>#REF!</v>
      </c>
      <c r="Z8" s="102" t="e">
        <f>#REF!</f>
        <v>#REF!</v>
      </c>
      <c r="AA8" s="102" t="e">
        <f>#REF!</f>
        <v>#REF!</v>
      </c>
      <c r="AB8" s="102" t="e">
        <f>#REF!</f>
        <v>#REF!</v>
      </c>
      <c r="AC8" s="102" t="e">
        <f>#REF!</f>
        <v>#REF!</v>
      </c>
      <c r="AD8" s="102" t="e">
        <f>#REF!</f>
        <v>#REF!</v>
      </c>
      <c r="AE8" s="102" t="e">
        <f>#REF!</f>
        <v>#REF!</v>
      </c>
      <c r="AF8" s="102" t="e">
        <f>#REF!</f>
        <v>#REF!</v>
      </c>
      <c r="AG8" s="102" t="e">
        <f>#REF!</f>
        <v>#REF!</v>
      </c>
      <c r="AH8" s="102" t="e">
        <f>#REF!</f>
        <v>#REF!</v>
      </c>
      <c r="AI8" s="102" t="e">
        <f>#REF!</f>
        <v>#REF!</v>
      </c>
      <c r="AJ8" s="102" t="e">
        <f>#REF!</f>
        <v>#REF!</v>
      </c>
      <c r="AK8" s="102" t="e">
        <f>#REF!</f>
        <v>#REF!</v>
      </c>
      <c r="AL8" s="102" t="e">
        <f>#REF!</f>
        <v>#REF!</v>
      </c>
      <c r="AM8" s="102" t="e">
        <f>#REF!</f>
        <v>#REF!</v>
      </c>
      <c r="AN8" s="102">
        <v>1476411</v>
      </c>
      <c r="AO8" s="102">
        <v>1213554</v>
      </c>
      <c r="AP8" s="102"/>
      <c r="AQ8" s="102"/>
      <c r="AR8" s="102"/>
      <c r="AS8" s="102"/>
      <c r="AT8" s="102"/>
      <c r="AU8" s="102"/>
      <c r="AV8" s="102"/>
      <c r="AW8" s="102"/>
      <c r="AX8" s="102"/>
      <c r="AY8" s="102"/>
      <c r="AZ8" s="102"/>
      <c r="BA8" s="102"/>
      <c r="BB8" s="102"/>
      <c r="BC8" s="102">
        <v>1690190</v>
      </c>
      <c r="BD8" s="41">
        <f>kv.mérleg!AR8</f>
        <v>1228220</v>
      </c>
    </row>
    <row r="9" spans="1:56">
      <c r="A9" s="103" t="s">
        <v>59</v>
      </c>
      <c r="B9" s="102">
        <v>1124985</v>
      </c>
      <c r="C9" s="102">
        <v>982237</v>
      </c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>
        <v>1000168</v>
      </c>
      <c r="R9" s="41">
        <f>kv.mérleg!U9</f>
        <v>794541</v>
      </c>
      <c r="S9" s="104" t="s">
        <v>16</v>
      </c>
      <c r="T9" s="102" t="e">
        <f>#REF!</f>
        <v>#REF!</v>
      </c>
      <c r="U9" s="102" t="e">
        <f>#REF!</f>
        <v>#REF!</v>
      </c>
      <c r="V9" s="102" t="e">
        <f>#REF!</f>
        <v>#REF!</v>
      </c>
      <c r="W9" s="102" t="e">
        <f>#REF!</f>
        <v>#REF!</v>
      </c>
      <c r="X9" s="102" t="e">
        <f>#REF!</f>
        <v>#REF!</v>
      </c>
      <c r="Y9" s="102" t="e">
        <f>#REF!</f>
        <v>#REF!</v>
      </c>
      <c r="Z9" s="102" t="e">
        <f>#REF!</f>
        <v>#REF!</v>
      </c>
      <c r="AA9" s="102" t="e">
        <f>#REF!</f>
        <v>#REF!</v>
      </c>
      <c r="AB9" s="102" t="e">
        <f>#REF!</f>
        <v>#REF!</v>
      </c>
      <c r="AC9" s="102" t="e">
        <f>#REF!</f>
        <v>#REF!</v>
      </c>
      <c r="AD9" s="102" t="e">
        <f>#REF!</f>
        <v>#REF!</v>
      </c>
      <c r="AE9" s="102" t="e">
        <f>#REF!</f>
        <v>#REF!</v>
      </c>
      <c r="AF9" s="102" t="e">
        <f>#REF!</f>
        <v>#REF!</v>
      </c>
      <c r="AG9" s="102" t="e">
        <f>#REF!</f>
        <v>#REF!</v>
      </c>
      <c r="AH9" s="102" t="e">
        <f>#REF!</f>
        <v>#REF!</v>
      </c>
      <c r="AI9" s="102" t="e">
        <f>#REF!</f>
        <v>#REF!</v>
      </c>
      <c r="AJ9" s="102" t="e">
        <f>#REF!</f>
        <v>#REF!</v>
      </c>
      <c r="AK9" s="102" t="e">
        <f>#REF!</f>
        <v>#REF!</v>
      </c>
      <c r="AL9" s="102" t="e">
        <f>#REF!</f>
        <v>#REF!</v>
      </c>
      <c r="AM9" s="102" t="e">
        <f>#REF!</f>
        <v>#REF!</v>
      </c>
      <c r="AN9" s="102">
        <v>60015</v>
      </c>
      <c r="AO9" s="102">
        <v>73164</v>
      </c>
      <c r="AP9" s="102"/>
      <c r="AQ9" s="102"/>
      <c r="AR9" s="102"/>
      <c r="AS9" s="102"/>
      <c r="AT9" s="102"/>
      <c r="AU9" s="102"/>
      <c r="AV9" s="102"/>
      <c r="AW9" s="102"/>
      <c r="AX9" s="102"/>
      <c r="AY9" s="102"/>
      <c r="AZ9" s="102"/>
      <c r="BA9" s="102"/>
      <c r="BB9" s="102"/>
      <c r="BC9" s="102">
        <v>58500</v>
      </c>
      <c r="BD9" s="41">
        <f>kv.mérleg!AR9</f>
        <v>31960</v>
      </c>
    </row>
    <row r="10" spans="1:56">
      <c r="A10" s="103" t="s">
        <v>67</v>
      </c>
      <c r="B10" s="102">
        <v>100000</v>
      </c>
      <c r="C10" s="102">
        <v>150000</v>
      </c>
      <c r="D10" s="102"/>
      <c r="E10" s="102"/>
      <c r="F10" s="102"/>
      <c r="G10" s="102"/>
      <c r="H10" s="102"/>
      <c r="I10" s="102"/>
      <c r="J10" s="102"/>
      <c r="K10" s="102"/>
      <c r="L10" s="102"/>
      <c r="M10" s="102"/>
      <c r="N10" s="102"/>
      <c r="O10" s="102"/>
      <c r="P10" s="102"/>
      <c r="Q10" s="102">
        <v>150100</v>
      </c>
      <c r="R10" s="41">
        <f>kv.mérleg!U10</f>
        <v>172952</v>
      </c>
      <c r="S10" s="101" t="s">
        <v>18</v>
      </c>
      <c r="T10" s="102" t="e">
        <f>#REF!</f>
        <v>#REF!</v>
      </c>
      <c r="U10" s="102" t="e">
        <f>#REF!</f>
        <v>#REF!</v>
      </c>
      <c r="V10" s="102" t="e">
        <f>#REF!</f>
        <v>#REF!</v>
      </c>
      <c r="W10" s="102" t="e">
        <f>#REF!</f>
        <v>#REF!</v>
      </c>
      <c r="X10" s="102" t="e">
        <f>#REF!</f>
        <v>#REF!</v>
      </c>
      <c r="Y10" s="102" t="e">
        <f>#REF!</f>
        <v>#REF!</v>
      </c>
      <c r="Z10" s="102" t="e">
        <f>#REF!</f>
        <v>#REF!</v>
      </c>
      <c r="AA10" s="102" t="e">
        <f>#REF!</f>
        <v>#REF!</v>
      </c>
      <c r="AB10" s="102" t="e">
        <f>#REF!</f>
        <v>#REF!</v>
      </c>
      <c r="AC10" s="102" t="e">
        <f>#REF!</f>
        <v>#REF!</v>
      </c>
      <c r="AD10" s="102" t="e">
        <f>#REF!</f>
        <v>#REF!</v>
      </c>
      <c r="AE10" s="102" t="e">
        <f>#REF!</f>
        <v>#REF!</v>
      </c>
      <c r="AF10" s="102" t="e">
        <f>#REF!</f>
        <v>#REF!</v>
      </c>
      <c r="AG10" s="102" t="e">
        <f>#REF!</f>
        <v>#REF!</v>
      </c>
      <c r="AH10" s="102" t="e">
        <f>#REF!</f>
        <v>#REF!</v>
      </c>
      <c r="AI10" s="102" t="e">
        <f>#REF!</f>
        <v>#REF!</v>
      </c>
      <c r="AJ10" s="102" t="e">
        <f>#REF!</f>
        <v>#REF!</v>
      </c>
      <c r="AK10" s="102" t="e">
        <f>#REF!</f>
        <v>#REF!</v>
      </c>
      <c r="AL10" s="102" t="e">
        <f>#REF!</f>
        <v>#REF!</v>
      </c>
      <c r="AM10" s="102" t="e">
        <f>#REF!</f>
        <v>#REF!</v>
      </c>
      <c r="AN10" s="102">
        <v>536645</v>
      </c>
      <c r="AO10" s="102">
        <v>671084</v>
      </c>
      <c r="AP10" s="102"/>
      <c r="AQ10" s="102"/>
      <c r="AR10" s="102"/>
      <c r="AS10" s="102"/>
      <c r="AT10" s="102"/>
      <c r="AU10" s="102"/>
      <c r="AV10" s="102"/>
      <c r="AW10" s="102"/>
      <c r="AX10" s="102"/>
      <c r="AY10" s="102"/>
      <c r="AZ10" s="102"/>
      <c r="BA10" s="102"/>
      <c r="BB10" s="102"/>
      <c r="BC10" s="102">
        <v>905753</v>
      </c>
      <c r="BD10" s="41">
        <f>kv.mérleg!AR10</f>
        <v>720957</v>
      </c>
    </row>
    <row r="11" spans="1:56">
      <c r="A11" s="103" t="s">
        <v>70</v>
      </c>
      <c r="B11" s="102">
        <v>0</v>
      </c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>
        <v>39962</v>
      </c>
      <c r="R11" s="41">
        <f>kv.mérleg!U11</f>
        <v>36544</v>
      </c>
      <c r="S11" s="103" t="s">
        <v>37</v>
      </c>
      <c r="T11" s="102" t="e">
        <f>#REF!</f>
        <v>#REF!</v>
      </c>
      <c r="U11" s="102" t="e">
        <f>#REF!</f>
        <v>#REF!</v>
      </c>
      <c r="V11" s="102" t="e">
        <f>#REF!</f>
        <v>#REF!</v>
      </c>
      <c r="W11" s="102" t="e">
        <f>#REF!</f>
        <v>#REF!</v>
      </c>
      <c r="X11" s="102" t="e">
        <f>#REF!</f>
        <v>#REF!</v>
      </c>
      <c r="Y11" s="102" t="e">
        <f>#REF!</f>
        <v>#REF!</v>
      </c>
      <c r="Z11" s="102" t="e">
        <f>#REF!</f>
        <v>#REF!</v>
      </c>
      <c r="AA11" s="102" t="e">
        <f>#REF!</f>
        <v>#REF!</v>
      </c>
      <c r="AB11" s="102" t="e">
        <f>#REF!</f>
        <v>#REF!</v>
      </c>
      <c r="AC11" s="102" t="e">
        <f>#REF!</f>
        <v>#REF!</v>
      </c>
      <c r="AD11" s="102" t="e">
        <f>#REF!</f>
        <v>#REF!</v>
      </c>
      <c r="AE11" s="102" t="e">
        <f>#REF!</f>
        <v>#REF!</v>
      </c>
      <c r="AF11" s="102" t="e">
        <f>#REF!</f>
        <v>#REF!</v>
      </c>
      <c r="AG11" s="102" t="e">
        <f>#REF!</f>
        <v>#REF!</v>
      </c>
      <c r="AH11" s="102" t="e">
        <f>#REF!</f>
        <v>#REF!</v>
      </c>
      <c r="AI11" s="102" t="e">
        <f>#REF!</f>
        <v>#REF!</v>
      </c>
      <c r="AJ11" s="102" t="e">
        <f>#REF!</f>
        <v>#REF!</v>
      </c>
      <c r="AK11" s="102" t="e">
        <f>#REF!</f>
        <v>#REF!</v>
      </c>
      <c r="AL11" s="102" t="e">
        <f>#REF!</f>
        <v>#REF!</v>
      </c>
      <c r="AM11" s="102" t="e">
        <f>#REF!</f>
        <v>#REF!</v>
      </c>
      <c r="AN11" s="102">
        <v>1516433</v>
      </c>
      <c r="AO11" s="102">
        <v>4875770</v>
      </c>
      <c r="AP11" s="102"/>
      <c r="AQ11" s="102"/>
      <c r="AR11" s="102"/>
      <c r="AS11" s="102"/>
      <c r="AT11" s="102"/>
      <c r="AU11" s="102"/>
      <c r="AV11" s="102"/>
      <c r="AW11" s="102"/>
      <c r="AX11" s="102"/>
      <c r="AY11" s="102"/>
      <c r="AZ11" s="102"/>
      <c r="BA11" s="102"/>
      <c r="BB11" s="102"/>
      <c r="BC11" s="102">
        <v>5361782</v>
      </c>
      <c r="BD11" s="41">
        <f>kv.mérleg!AR11</f>
        <v>2914307</v>
      </c>
    </row>
    <row r="12" spans="1:56">
      <c r="A12" s="103" t="s">
        <v>72</v>
      </c>
      <c r="B12" s="102">
        <v>104418</v>
      </c>
      <c r="C12" s="102">
        <v>26529</v>
      </c>
      <c r="D12" s="102"/>
      <c r="E12" s="102"/>
      <c r="F12" s="102"/>
      <c r="G12" s="102"/>
      <c r="H12" s="102"/>
      <c r="I12" s="102"/>
      <c r="J12" s="102"/>
      <c r="K12" s="102"/>
      <c r="L12" s="102"/>
      <c r="M12" s="102"/>
      <c r="N12" s="102"/>
      <c r="O12" s="102"/>
      <c r="P12" s="102"/>
      <c r="Q12" s="102">
        <v>7703</v>
      </c>
      <c r="R12" s="41">
        <f>kv.mérleg!U12</f>
        <v>27958</v>
      </c>
      <c r="S12" s="103" t="s">
        <v>39</v>
      </c>
      <c r="T12" s="102" t="e">
        <f>#REF!</f>
        <v>#REF!</v>
      </c>
      <c r="U12" s="102" t="e">
        <f>#REF!</f>
        <v>#REF!</v>
      </c>
      <c r="V12" s="102" t="e">
        <f>#REF!</f>
        <v>#REF!</v>
      </c>
      <c r="W12" s="102" t="e">
        <f>#REF!</f>
        <v>#REF!</v>
      </c>
      <c r="X12" s="102" t="e">
        <f>#REF!</f>
        <v>#REF!</v>
      </c>
      <c r="Y12" s="102" t="e">
        <f>#REF!</f>
        <v>#REF!</v>
      </c>
      <c r="Z12" s="102" t="e">
        <f>#REF!</f>
        <v>#REF!</v>
      </c>
      <c r="AA12" s="102" t="e">
        <f>#REF!</f>
        <v>#REF!</v>
      </c>
      <c r="AB12" s="102" t="e">
        <f>#REF!</f>
        <v>#REF!</v>
      </c>
      <c r="AC12" s="102" t="e">
        <f>#REF!</f>
        <v>#REF!</v>
      </c>
      <c r="AD12" s="102" t="e">
        <f>#REF!</f>
        <v>#REF!</v>
      </c>
      <c r="AE12" s="102" t="e">
        <f>#REF!</f>
        <v>#REF!</v>
      </c>
      <c r="AF12" s="102" t="e">
        <f>#REF!</f>
        <v>#REF!</v>
      </c>
      <c r="AG12" s="102" t="e">
        <f>#REF!</f>
        <v>#REF!</v>
      </c>
      <c r="AH12" s="102" t="e">
        <f>#REF!</f>
        <v>#REF!</v>
      </c>
      <c r="AI12" s="102" t="e">
        <f>#REF!</f>
        <v>#REF!</v>
      </c>
      <c r="AJ12" s="102" t="e">
        <f>#REF!</f>
        <v>#REF!</v>
      </c>
      <c r="AK12" s="102" t="e">
        <f>#REF!</f>
        <v>#REF!</v>
      </c>
      <c r="AL12" s="102" t="e">
        <f>#REF!</f>
        <v>#REF!</v>
      </c>
      <c r="AM12" s="102" t="e">
        <f>#REF!</f>
        <v>#REF!</v>
      </c>
      <c r="AN12" s="102">
        <v>561463</v>
      </c>
      <c r="AO12" s="102">
        <v>456890</v>
      </c>
      <c r="AP12" s="102"/>
      <c r="AQ12" s="102"/>
      <c r="AR12" s="102"/>
      <c r="AS12" s="102"/>
      <c r="AT12" s="102"/>
      <c r="AU12" s="102"/>
      <c r="AV12" s="102"/>
      <c r="AW12" s="102"/>
      <c r="AX12" s="102"/>
      <c r="AY12" s="102"/>
      <c r="AZ12" s="102"/>
      <c r="BA12" s="102"/>
      <c r="BB12" s="102"/>
      <c r="BC12" s="102">
        <v>557051</v>
      </c>
      <c r="BD12" s="41">
        <f>kv.mérleg!AR12</f>
        <v>614693</v>
      </c>
    </row>
    <row r="13" spans="1:56">
      <c r="A13" s="103"/>
      <c r="B13" s="102"/>
      <c r="C13" s="102"/>
      <c r="D13" s="102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3" t="s">
        <v>40</v>
      </c>
      <c r="T13" s="102" t="e">
        <f>#REF!</f>
        <v>#REF!</v>
      </c>
      <c r="U13" s="102" t="e">
        <f>#REF!</f>
        <v>#REF!</v>
      </c>
      <c r="V13" s="102" t="e">
        <f>#REF!</f>
        <v>#REF!</v>
      </c>
      <c r="W13" s="102" t="e">
        <f>#REF!</f>
        <v>#REF!</v>
      </c>
      <c r="X13" s="102" t="e">
        <f>#REF!</f>
        <v>#REF!</v>
      </c>
      <c r="Y13" s="102" t="e">
        <f>#REF!</f>
        <v>#REF!</v>
      </c>
      <c r="Z13" s="102" t="e">
        <f>#REF!</f>
        <v>#REF!</v>
      </c>
      <c r="AA13" s="102" t="e">
        <f>#REF!</f>
        <v>#REF!</v>
      </c>
      <c r="AB13" s="102" t="e">
        <f>#REF!</f>
        <v>#REF!</v>
      </c>
      <c r="AC13" s="102" t="e">
        <f>#REF!</f>
        <v>#REF!</v>
      </c>
      <c r="AD13" s="102" t="e">
        <f>#REF!</f>
        <v>#REF!</v>
      </c>
      <c r="AE13" s="102" t="e">
        <f>#REF!</f>
        <v>#REF!</v>
      </c>
      <c r="AF13" s="102" t="e">
        <f>#REF!</f>
        <v>#REF!</v>
      </c>
      <c r="AG13" s="102" t="e">
        <f>#REF!</f>
        <v>#REF!</v>
      </c>
      <c r="AH13" s="102" t="e">
        <f>#REF!</f>
        <v>#REF!</v>
      </c>
      <c r="AI13" s="102" t="e">
        <f>#REF!</f>
        <v>#REF!</v>
      </c>
      <c r="AJ13" s="102" t="e">
        <f>#REF!</f>
        <v>#REF!</v>
      </c>
      <c r="AK13" s="102" t="e">
        <f>#REF!</f>
        <v>#REF!</v>
      </c>
      <c r="AL13" s="102" t="e">
        <f>#REF!</f>
        <v>#REF!</v>
      </c>
      <c r="AM13" s="102" t="e">
        <f>#REF!</f>
        <v>#REF!</v>
      </c>
      <c r="AN13" s="102">
        <v>1970721</v>
      </c>
      <c r="AO13" s="102">
        <v>118818</v>
      </c>
      <c r="AP13" s="102"/>
      <c r="AQ13" s="102"/>
      <c r="AR13" s="102"/>
      <c r="AS13" s="102"/>
      <c r="AT13" s="102"/>
      <c r="AU13" s="102"/>
      <c r="AV13" s="102"/>
      <c r="AW13" s="102"/>
      <c r="AX13" s="102"/>
      <c r="AY13" s="102"/>
      <c r="AZ13" s="102"/>
      <c r="BA13" s="102"/>
      <c r="BB13" s="102"/>
      <c r="BC13" s="102">
        <v>46669</v>
      </c>
      <c r="BD13" s="41">
        <f>kv.mérleg!AR13</f>
        <v>321110</v>
      </c>
    </row>
    <row r="14" spans="1:56">
      <c r="A14" s="103" t="s">
        <v>289</v>
      </c>
      <c r="B14" s="102">
        <f>SUM(B6:B13)</f>
        <v>4947193</v>
      </c>
      <c r="C14" s="102">
        <f t="shared" ref="C14:M14" si="0">SUM(C6:C13)</f>
        <v>6834153</v>
      </c>
      <c r="D14" s="102">
        <f t="shared" si="0"/>
        <v>0</v>
      </c>
      <c r="E14" s="102">
        <f t="shared" si="0"/>
        <v>0</v>
      </c>
      <c r="F14" s="102">
        <f t="shared" si="0"/>
        <v>0</v>
      </c>
      <c r="G14" s="102">
        <f t="shared" si="0"/>
        <v>0</v>
      </c>
      <c r="H14" s="102">
        <f t="shared" si="0"/>
        <v>0</v>
      </c>
      <c r="I14" s="102">
        <f t="shared" si="0"/>
        <v>0</v>
      </c>
      <c r="J14" s="102">
        <f t="shared" si="0"/>
        <v>0</v>
      </c>
      <c r="K14" s="102">
        <f t="shared" si="0"/>
        <v>0</v>
      </c>
      <c r="L14" s="102">
        <f t="shared" si="0"/>
        <v>0</v>
      </c>
      <c r="M14" s="102">
        <f t="shared" si="0"/>
        <v>0</v>
      </c>
      <c r="N14" s="102">
        <f>SUM(N6:N13)</f>
        <v>0</v>
      </c>
      <c r="O14" s="102">
        <f>SUM(O6:O13)</f>
        <v>0</v>
      </c>
      <c r="P14" s="102">
        <f>SUM(P6:P13)</f>
        <v>0</v>
      </c>
      <c r="Q14" s="102">
        <f>SUM(Q6:Q13)</f>
        <v>7929641</v>
      </c>
      <c r="R14" s="102">
        <f>SUM(R6:R13)</f>
        <v>5986040</v>
      </c>
      <c r="S14" s="102" t="s">
        <v>290</v>
      </c>
      <c r="T14" s="102" t="e">
        <f t="shared" ref="T14:AM14" si="1">SUM(T6:T13)</f>
        <v>#REF!</v>
      </c>
      <c r="U14" s="102" t="e">
        <f t="shared" si="1"/>
        <v>#REF!</v>
      </c>
      <c r="V14" s="102" t="e">
        <f t="shared" si="1"/>
        <v>#REF!</v>
      </c>
      <c r="W14" s="102" t="e">
        <f t="shared" si="1"/>
        <v>#REF!</v>
      </c>
      <c r="X14" s="102" t="e">
        <f t="shared" si="1"/>
        <v>#REF!</v>
      </c>
      <c r="Y14" s="102" t="e">
        <f t="shared" si="1"/>
        <v>#REF!</v>
      </c>
      <c r="Z14" s="102" t="e">
        <f t="shared" si="1"/>
        <v>#REF!</v>
      </c>
      <c r="AA14" s="102" t="e">
        <f t="shared" si="1"/>
        <v>#REF!</v>
      </c>
      <c r="AB14" s="102" t="e">
        <f t="shared" si="1"/>
        <v>#REF!</v>
      </c>
      <c r="AC14" s="102" t="e">
        <f t="shared" si="1"/>
        <v>#REF!</v>
      </c>
      <c r="AD14" s="102" t="e">
        <f t="shared" si="1"/>
        <v>#REF!</v>
      </c>
      <c r="AE14" s="102" t="e">
        <f t="shared" si="1"/>
        <v>#REF!</v>
      </c>
      <c r="AF14" s="102" t="e">
        <f t="shared" si="1"/>
        <v>#REF!</v>
      </c>
      <c r="AG14" s="102" t="e">
        <f t="shared" si="1"/>
        <v>#REF!</v>
      </c>
      <c r="AH14" s="102" t="e">
        <f t="shared" si="1"/>
        <v>#REF!</v>
      </c>
      <c r="AI14" s="102" t="e">
        <f t="shared" si="1"/>
        <v>#REF!</v>
      </c>
      <c r="AJ14" s="102" t="e">
        <f t="shared" si="1"/>
        <v>#REF!</v>
      </c>
      <c r="AK14" s="102" t="e">
        <f t="shared" si="1"/>
        <v>#REF!</v>
      </c>
      <c r="AL14" s="102" t="e">
        <f t="shared" si="1"/>
        <v>#REF!</v>
      </c>
      <c r="AM14" s="102" t="e">
        <f t="shared" si="1"/>
        <v>#REF!</v>
      </c>
      <c r="AN14" s="102">
        <f>SUM(AN6:AN13)</f>
        <v>8628716.4000000004</v>
      </c>
      <c r="AO14" s="102">
        <f t="shared" ref="AO14:BD14" si="2">SUM(AO6:AO13)</f>
        <v>9940379</v>
      </c>
      <c r="AP14" s="102">
        <f t="shared" si="2"/>
        <v>0</v>
      </c>
      <c r="AQ14" s="102">
        <f t="shared" si="2"/>
        <v>0</v>
      </c>
      <c r="AR14" s="102">
        <f t="shared" si="2"/>
        <v>0</v>
      </c>
      <c r="AS14" s="102">
        <f t="shared" si="2"/>
        <v>0</v>
      </c>
      <c r="AT14" s="102">
        <f t="shared" si="2"/>
        <v>0</v>
      </c>
      <c r="AU14" s="102">
        <f t="shared" si="2"/>
        <v>0</v>
      </c>
      <c r="AV14" s="102">
        <f t="shared" si="2"/>
        <v>0</v>
      </c>
      <c r="AW14" s="102">
        <f t="shared" si="2"/>
        <v>0</v>
      </c>
      <c r="AX14" s="102">
        <f t="shared" si="2"/>
        <v>0</v>
      </c>
      <c r="AY14" s="102">
        <f t="shared" si="2"/>
        <v>0</v>
      </c>
      <c r="AZ14" s="102">
        <f t="shared" si="2"/>
        <v>0</v>
      </c>
      <c r="BA14" s="102">
        <f t="shared" si="2"/>
        <v>0</v>
      </c>
      <c r="BB14" s="102">
        <f t="shared" si="2"/>
        <v>0</v>
      </c>
      <c r="BC14" s="102">
        <f t="shared" si="2"/>
        <v>11311011</v>
      </c>
      <c r="BD14" s="102">
        <f t="shared" si="2"/>
        <v>8432848</v>
      </c>
    </row>
    <row r="15" spans="1:56">
      <c r="A15" s="675" t="s">
        <v>291</v>
      </c>
      <c r="B15" s="675"/>
      <c r="C15" s="675"/>
      <c r="D15" s="675"/>
      <c r="E15" s="675"/>
      <c r="F15" s="675"/>
      <c r="G15" s="675"/>
      <c r="H15" s="675"/>
      <c r="I15" s="675"/>
      <c r="J15" s="675"/>
      <c r="K15" s="675"/>
      <c r="L15" s="675"/>
      <c r="M15" s="675"/>
      <c r="N15" s="675"/>
      <c r="O15" s="675"/>
      <c r="P15" s="675"/>
      <c r="Q15" s="675"/>
      <c r="R15" s="675"/>
      <c r="S15" s="675"/>
      <c r="T15" s="102" t="e">
        <f>#REF!-T14</f>
        <v>#REF!</v>
      </c>
      <c r="U15" s="102" t="e">
        <f>#REF!-U14</f>
        <v>#REF!</v>
      </c>
      <c r="V15" s="102" t="e">
        <f>#REF!-V14</f>
        <v>#REF!</v>
      </c>
      <c r="W15" s="102" t="e">
        <f>#REF!-W14</f>
        <v>#REF!</v>
      </c>
      <c r="X15" s="102" t="e">
        <f>#REF!-X14</f>
        <v>#REF!</v>
      </c>
      <c r="Y15" s="102" t="e">
        <f>#REF!-Y14</f>
        <v>#REF!</v>
      </c>
      <c r="Z15" s="102" t="e">
        <f>#REF!-Z14</f>
        <v>#REF!</v>
      </c>
      <c r="AA15" s="102" t="e">
        <f>#REF!-AA14</f>
        <v>#REF!</v>
      </c>
      <c r="AB15" s="102" t="e">
        <f>#REF!-AB14</f>
        <v>#REF!</v>
      </c>
      <c r="AC15" s="102" t="e">
        <f>#REF!-AC14</f>
        <v>#REF!</v>
      </c>
      <c r="AD15" s="102" t="e">
        <f>#REF!-AD14</f>
        <v>#REF!</v>
      </c>
      <c r="AE15" s="102" t="e">
        <f>#REF!-AE14</f>
        <v>#REF!</v>
      </c>
      <c r="AF15" s="102" t="e">
        <f>#REF!-AF14</f>
        <v>#REF!</v>
      </c>
      <c r="AG15" s="102" t="e">
        <f>#REF!-AG14</f>
        <v>#REF!</v>
      </c>
      <c r="AH15" s="102" t="e">
        <f>#REF!-AH14</f>
        <v>#REF!</v>
      </c>
      <c r="AI15" s="102" t="e">
        <f>#REF!-AI14</f>
        <v>#REF!</v>
      </c>
      <c r="AJ15" s="102" t="e">
        <f>#REF!-AJ14</f>
        <v>#REF!</v>
      </c>
      <c r="AK15" s="102" t="e">
        <f>#REF!-AK14</f>
        <v>#REF!</v>
      </c>
      <c r="AL15" s="102" t="e">
        <f>#REF!-AL14</f>
        <v>#REF!</v>
      </c>
      <c r="AM15" s="102" t="e">
        <f t="shared" ref="AM15" si="3">B14-AM14</f>
        <v>#REF!</v>
      </c>
      <c r="AN15" s="102">
        <f>B14-AN14</f>
        <v>-3681523.4000000004</v>
      </c>
      <c r="AO15" s="102">
        <f t="shared" ref="AO15:BD15" si="4">C14-AO14</f>
        <v>-3106226</v>
      </c>
      <c r="AP15" s="102">
        <f t="shared" ref="AP15" si="5">D14-AP14</f>
        <v>0</v>
      </c>
      <c r="AQ15" s="102">
        <f t="shared" ref="AQ15" si="6">E14-AQ14</f>
        <v>0</v>
      </c>
      <c r="AR15" s="102">
        <f t="shared" ref="AR15" si="7">F14-AR14</f>
        <v>0</v>
      </c>
      <c r="AS15" s="102">
        <f t="shared" ref="AS15" si="8">G14-AS14</f>
        <v>0</v>
      </c>
      <c r="AT15" s="102">
        <f t="shared" ref="AT15" si="9">H14-AT14</f>
        <v>0</v>
      </c>
      <c r="AU15" s="102">
        <f t="shared" ref="AU15" si="10">I14-AU14</f>
        <v>0</v>
      </c>
      <c r="AV15" s="102">
        <f t="shared" ref="AV15" si="11">J14-AV14</f>
        <v>0</v>
      </c>
      <c r="AW15" s="102">
        <f t="shared" ref="AW15" si="12">K14-AW14</f>
        <v>0</v>
      </c>
      <c r="AX15" s="102">
        <f t="shared" ref="AX15" si="13">L14-AX14</f>
        <v>0</v>
      </c>
      <c r="AY15" s="102">
        <f t="shared" ref="AY15" si="14">M14-AY14</f>
        <v>0</v>
      </c>
      <c r="AZ15" s="102">
        <f t="shared" ref="AZ15" si="15">N14-AZ14</f>
        <v>0</v>
      </c>
      <c r="BA15" s="102">
        <f t="shared" ref="BA15" si="16">O14-BA14</f>
        <v>0</v>
      </c>
      <c r="BB15" s="102">
        <f t="shared" ref="BB15" si="17">P14-BB14</f>
        <v>0</v>
      </c>
      <c r="BC15" s="102">
        <f t="shared" si="4"/>
        <v>-3381370</v>
      </c>
      <c r="BD15" s="102">
        <f t="shared" si="4"/>
        <v>-2446808</v>
      </c>
    </row>
    <row r="16" spans="1:56">
      <c r="A16" s="674" t="s">
        <v>115</v>
      </c>
      <c r="B16" s="674"/>
      <c r="C16" s="674"/>
      <c r="D16" s="674"/>
      <c r="E16" s="674"/>
      <c r="F16" s="674"/>
      <c r="G16" s="674"/>
      <c r="H16" s="674"/>
      <c r="I16" s="674"/>
      <c r="J16" s="674"/>
      <c r="K16" s="674"/>
      <c r="L16" s="674"/>
      <c r="M16" s="674"/>
      <c r="N16" s="674"/>
      <c r="O16" s="674"/>
      <c r="P16" s="674"/>
      <c r="Q16" s="674"/>
      <c r="R16" s="674"/>
      <c r="S16" s="674"/>
      <c r="T16" s="105" t="e">
        <f>(#REF!+#REF!+#REF!+#REF!)-(T6+T7+T8+T9+T10)</f>
        <v>#REF!</v>
      </c>
      <c r="U16" s="105" t="e">
        <f>(#REF!+#REF!+#REF!+#REF!)-(U6+U7+U8+U9+U10)</f>
        <v>#REF!</v>
      </c>
      <c r="V16" s="105" t="e">
        <f>(#REF!+#REF!+#REF!+#REF!)-(V6+V7+V8+V9+V10)</f>
        <v>#REF!</v>
      </c>
      <c r="W16" s="105" t="e">
        <f>(#REF!+#REF!+#REF!+#REF!)-(W6+W7+W8+W9+W10)</f>
        <v>#REF!</v>
      </c>
      <c r="X16" s="105" t="e">
        <f>(#REF!+#REF!+#REF!+#REF!)-(X6+X7+X8+X9+X10)</f>
        <v>#REF!</v>
      </c>
      <c r="Y16" s="105" t="e">
        <f>(#REF!+#REF!+#REF!+#REF!)-(Y6+Y7+Y8+Y9+Y10)</f>
        <v>#REF!</v>
      </c>
      <c r="Z16" s="105" t="e">
        <f>(#REF!+#REF!+#REF!+#REF!)-(Z6+Z7+Z8+Z9+Z10)</f>
        <v>#REF!</v>
      </c>
      <c r="AA16" s="105" t="e">
        <f>(#REF!+#REF!+#REF!+#REF!)-(AA6+AA7+AA8+AA9+AA10)</f>
        <v>#REF!</v>
      </c>
      <c r="AB16" s="105" t="e">
        <f>(#REF!+#REF!+#REF!+#REF!)-(AB6+AB7+AB8+AB9+AB10)</f>
        <v>#REF!</v>
      </c>
      <c r="AC16" s="105" t="e">
        <f>(#REF!+#REF!+#REF!+#REF!)-(AC6+AC7+AC8+AC9+AC10)</f>
        <v>#REF!</v>
      </c>
      <c r="AD16" s="105" t="e">
        <f>(#REF!+#REF!+#REF!+#REF!)-(AD6+AD7+AD8+AD9+AD10)</f>
        <v>#REF!</v>
      </c>
      <c r="AE16" s="105" t="e">
        <f>(#REF!+#REF!+#REF!+#REF!)-(AE6+AE7+AE8+AE9+AE10)</f>
        <v>#REF!</v>
      </c>
      <c r="AF16" s="105" t="e">
        <f>(#REF!+#REF!+#REF!+#REF!)-(AF6+AF7+AF8+AF9+AF10)</f>
        <v>#REF!</v>
      </c>
      <c r="AG16" s="105" t="e">
        <f>(#REF!+#REF!+#REF!+#REF!)-(AG6+AG7+AG8+AG9+AG10)</f>
        <v>#REF!</v>
      </c>
      <c r="AH16" s="105" t="e">
        <f>(#REF!+#REF!+#REF!+#REF!)-(AH6+AH7+AH8+AH9+AH10)</f>
        <v>#REF!</v>
      </c>
      <c r="AI16" s="105" t="e">
        <f>(#REF!+#REF!+#REF!+#REF!)-(AI6+AI7+AI8+AI9+AI10)</f>
        <v>#REF!</v>
      </c>
      <c r="AJ16" s="105" t="e">
        <f>(#REF!+#REF!+#REF!+#REF!)-(AJ6+AJ7+AJ8+AJ9+AJ10)</f>
        <v>#REF!</v>
      </c>
      <c r="AK16" s="105" t="e">
        <f>(#REF!+#REF!+#REF!+#REF!)-(AK6+AK7+AK8+AK9+AK10)</f>
        <v>#REF!</v>
      </c>
      <c r="AL16" s="105" t="e">
        <f>(#REF!+#REF!+#REF!+#REF!)-(AL6+AL7+AL8+AL9+AL10)</f>
        <v>#REF!</v>
      </c>
      <c r="AM16" s="105" t="e">
        <f t="shared" ref="AM16" si="18">(B6+B8+B9+B11)-(AM6+AM7+AM8+AM9+AM10)</f>
        <v>#REF!</v>
      </c>
      <c r="AN16" s="105">
        <v>150674</v>
      </c>
      <c r="AO16" s="105">
        <f t="shared" ref="AO16:BD16" si="19">(C6+C8+C9+C11)-(AO6+AO7+AO8+AO9+AO10)</f>
        <v>511627</v>
      </c>
      <c r="AP16" s="105">
        <f t="shared" si="19"/>
        <v>0</v>
      </c>
      <c r="AQ16" s="105">
        <f t="shared" si="19"/>
        <v>0</v>
      </c>
      <c r="AR16" s="105">
        <f t="shared" si="19"/>
        <v>0</v>
      </c>
      <c r="AS16" s="105">
        <f t="shared" si="19"/>
        <v>0</v>
      </c>
      <c r="AT16" s="105">
        <f t="shared" si="19"/>
        <v>0</v>
      </c>
      <c r="AU16" s="105">
        <f t="shared" si="19"/>
        <v>0</v>
      </c>
      <c r="AV16" s="105">
        <f t="shared" si="19"/>
        <v>0</v>
      </c>
      <c r="AW16" s="105">
        <f t="shared" si="19"/>
        <v>0</v>
      </c>
      <c r="AX16" s="105">
        <f t="shared" si="19"/>
        <v>0</v>
      </c>
      <c r="AY16" s="105">
        <f t="shared" si="19"/>
        <v>0</v>
      </c>
      <c r="AZ16" s="105">
        <f t="shared" si="19"/>
        <v>0</v>
      </c>
      <c r="BA16" s="105">
        <f t="shared" si="19"/>
        <v>0</v>
      </c>
      <c r="BB16" s="105">
        <f t="shared" si="19"/>
        <v>0</v>
      </c>
      <c r="BC16" s="105">
        <f t="shared" si="19"/>
        <v>143154</v>
      </c>
      <c r="BD16" s="105">
        <f t="shared" si="19"/>
        <v>490183</v>
      </c>
    </row>
    <row r="17" spans="1:56">
      <c r="A17" s="674" t="s">
        <v>116</v>
      </c>
      <c r="B17" s="674"/>
      <c r="C17" s="674"/>
      <c r="D17" s="674"/>
      <c r="E17" s="674"/>
      <c r="F17" s="674"/>
      <c r="G17" s="674"/>
      <c r="H17" s="674"/>
      <c r="I17" s="674"/>
      <c r="J17" s="674"/>
      <c r="K17" s="674"/>
      <c r="L17" s="674"/>
      <c r="M17" s="674"/>
      <c r="N17" s="674"/>
      <c r="O17" s="674"/>
      <c r="P17" s="674"/>
      <c r="Q17" s="674"/>
      <c r="R17" s="674"/>
      <c r="S17" s="674"/>
      <c r="T17" s="105" t="e">
        <f>(#REF!+#REF!+#REF!)-(T11+T12+T13)</f>
        <v>#REF!</v>
      </c>
      <c r="U17" s="105" t="e">
        <f>(#REF!+#REF!+#REF!)-(U11+U12+U13)</f>
        <v>#REF!</v>
      </c>
      <c r="V17" s="105" t="e">
        <f>(#REF!+#REF!+#REF!)-(V11+V12+V13)</f>
        <v>#REF!</v>
      </c>
      <c r="W17" s="105" t="e">
        <f>(#REF!+#REF!+#REF!)-(W11+W12+W13)</f>
        <v>#REF!</v>
      </c>
      <c r="X17" s="105" t="e">
        <f>(#REF!+#REF!+#REF!)-(X11+X12+X13)</f>
        <v>#REF!</v>
      </c>
      <c r="Y17" s="105" t="e">
        <f>(#REF!+#REF!+#REF!)-(Y11+Y12+Y13)</f>
        <v>#REF!</v>
      </c>
      <c r="Z17" s="105" t="e">
        <f>(#REF!+#REF!+#REF!)-(Z11+Z12+Z13)</f>
        <v>#REF!</v>
      </c>
      <c r="AA17" s="105" t="e">
        <f>(#REF!+#REF!+#REF!)-(AA11+AA12+AA13)</f>
        <v>#REF!</v>
      </c>
      <c r="AB17" s="105" t="e">
        <f>(#REF!+#REF!+#REF!)-(AB11+AB12+AB13)</f>
        <v>#REF!</v>
      </c>
      <c r="AC17" s="105" t="e">
        <f>(#REF!+#REF!+#REF!)-(AC11+AC12+AC13)</f>
        <v>#REF!</v>
      </c>
      <c r="AD17" s="105" t="e">
        <f>(#REF!+#REF!+#REF!)-(AD11+AD12+AD13)</f>
        <v>#REF!</v>
      </c>
      <c r="AE17" s="105" t="e">
        <f>(#REF!+#REF!+#REF!)-(AE11+AE12+AE13)</f>
        <v>#REF!</v>
      </c>
      <c r="AF17" s="105" t="e">
        <f>(#REF!+#REF!+#REF!)-(AF11+AF12+AF13)</f>
        <v>#REF!</v>
      </c>
      <c r="AG17" s="105" t="e">
        <f>(#REF!+#REF!+#REF!)-(AG11+AG12+AG13)</f>
        <v>#REF!</v>
      </c>
      <c r="AH17" s="105" t="e">
        <f>(#REF!+#REF!+#REF!)-(AH11+AH12+AH13)</f>
        <v>#REF!</v>
      </c>
      <c r="AI17" s="105" t="e">
        <f>(#REF!+#REF!+#REF!)-(AI11+AI12+AI13)</f>
        <v>#REF!</v>
      </c>
      <c r="AJ17" s="105" t="e">
        <f>(#REF!+#REF!+#REF!)-(AJ11+AJ12+AJ13)</f>
        <v>#REF!</v>
      </c>
      <c r="AK17" s="105" t="e">
        <f>(#REF!+#REF!+#REF!)-(AK11+AK12+AK13)</f>
        <v>#REF!</v>
      </c>
      <c r="AL17" s="105" t="e">
        <f>(#REF!+#REF!+#REF!)-(AL11+AL12+AL13)</f>
        <v>#REF!</v>
      </c>
      <c r="AM17" s="105" t="e">
        <f t="shared" ref="AM17" si="20">(B7+B10+B12)-(AM11+AM12+AM13)</f>
        <v>#REF!</v>
      </c>
      <c r="AN17" s="105">
        <v>-3832197</v>
      </c>
      <c r="AO17" s="105">
        <f t="shared" ref="AO17:BD17" si="21">(C7+C10+C12)-(AO11+AO12+AO13)</f>
        <v>-3617853</v>
      </c>
      <c r="AP17" s="105">
        <f t="shared" si="21"/>
        <v>0</v>
      </c>
      <c r="AQ17" s="105">
        <f t="shared" si="21"/>
        <v>0</v>
      </c>
      <c r="AR17" s="105">
        <f t="shared" si="21"/>
        <v>0</v>
      </c>
      <c r="AS17" s="105">
        <f t="shared" si="21"/>
        <v>0</v>
      </c>
      <c r="AT17" s="105">
        <f t="shared" si="21"/>
        <v>0</v>
      </c>
      <c r="AU17" s="105">
        <f t="shared" si="21"/>
        <v>0</v>
      </c>
      <c r="AV17" s="105">
        <f t="shared" si="21"/>
        <v>0</v>
      </c>
      <c r="AW17" s="105">
        <f t="shared" si="21"/>
        <v>0</v>
      </c>
      <c r="AX17" s="105">
        <f t="shared" si="21"/>
        <v>0</v>
      </c>
      <c r="AY17" s="105">
        <f t="shared" si="21"/>
        <v>0</v>
      </c>
      <c r="AZ17" s="105">
        <f t="shared" si="21"/>
        <v>0</v>
      </c>
      <c r="BA17" s="105">
        <f t="shared" si="21"/>
        <v>0</v>
      </c>
      <c r="BB17" s="105">
        <f t="shared" si="21"/>
        <v>0</v>
      </c>
      <c r="BC17" s="105">
        <f t="shared" si="21"/>
        <v>-3524524</v>
      </c>
      <c r="BD17" s="105">
        <f t="shared" si="21"/>
        <v>-2936991</v>
      </c>
    </row>
    <row r="18" spans="1:56">
      <c r="A18" s="103" t="s">
        <v>79</v>
      </c>
      <c r="B18" s="102">
        <v>6151111</v>
      </c>
      <c r="C18" s="102">
        <v>5407368</v>
      </c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>
        <v>5789355</v>
      </c>
      <c r="R18" s="102">
        <f>kv.mérleg!U18</f>
        <v>4881576</v>
      </c>
      <c r="S18" s="102" t="s">
        <v>80</v>
      </c>
      <c r="T18" s="102" t="e">
        <f>#REF!</f>
        <v>#REF!</v>
      </c>
      <c r="U18" s="102" t="e">
        <f>#REF!</f>
        <v>#REF!</v>
      </c>
      <c r="V18" s="102" t="e">
        <f>#REF!</f>
        <v>#REF!</v>
      </c>
      <c r="W18" s="102" t="e">
        <f>#REF!</f>
        <v>#REF!</v>
      </c>
      <c r="X18" s="102" t="e">
        <f>#REF!</f>
        <v>#REF!</v>
      </c>
      <c r="Y18" s="102" t="e">
        <f>#REF!</f>
        <v>#REF!</v>
      </c>
      <c r="Z18" s="102" t="e">
        <f>#REF!</f>
        <v>#REF!</v>
      </c>
      <c r="AA18" s="102" t="e">
        <f>#REF!</f>
        <v>#REF!</v>
      </c>
      <c r="AB18" s="102" t="e">
        <f>#REF!</f>
        <v>#REF!</v>
      </c>
      <c r="AC18" s="102" t="e">
        <f>#REF!</f>
        <v>#REF!</v>
      </c>
      <c r="AD18" s="102" t="e">
        <f>#REF!</f>
        <v>#REF!</v>
      </c>
      <c r="AE18" s="102" t="e">
        <f>#REF!</f>
        <v>#REF!</v>
      </c>
      <c r="AF18" s="102" t="e">
        <f>#REF!</f>
        <v>#REF!</v>
      </c>
      <c r="AG18" s="102" t="e">
        <f>#REF!</f>
        <v>#REF!</v>
      </c>
      <c r="AH18" s="102" t="e">
        <f>#REF!</f>
        <v>#REF!</v>
      </c>
      <c r="AI18" s="102" t="e">
        <f>#REF!</f>
        <v>#REF!</v>
      </c>
      <c r="AJ18" s="102" t="e">
        <f>#REF!</f>
        <v>#REF!</v>
      </c>
      <c r="AK18" s="102" t="e">
        <f>#REF!</f>
        <v>#REF!</v>
      </c>
      <c r="AL18" s="102" t="e">
        <f>#REF!</f>
        <v>#REF!</v>
      </c>
      <c r="AM18" s="102" t="e">
        <f>#REF!</f>
        <v>#REF!</v>
      </c>
      <c r="AN18" s="102">
        <v>2469588</v>
      </c>
      <c r="AO18" s="102">
        <v>2301142</v>
      </c>
      <c r="AP18" s="102"/>
      <c r="AQ18" s="102"/>
      <c r="AR18" s="102"/>
      <c r="AS18" s="102"/>
      <c r="AT18" s="102"/>
      <c r="AU18" s="102"/>
      <c r="AV18" s="102"/>
      <c r="AW18" s="102"/>
      <c r="AX18" s="102"/>
      <c r="AY18" s="102"/>
      <c r="AZ18" s="102"/>
      <c r="BA18" s="102"/>
      <c r="BB18" s="102"/>
      <c r="BC18" s="102">
        <v>2407985</v>
      </c>
      <c r="BD18" s="105">
        <f>kv.mérleg!AR18</f>
        <v>2434768</v>
      </c>
    </row>
    <row r="19" spans="1:56">
      <c r="A19" s="188" t="s">
        <v>292</v>
      </c>
      <c r="B19" s="105">
        <v>2421111</v>
      </c>
      <c r="C19" s="105">
        <v>2246490</v>
      </c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5">
        <v>2353333</v>
      </c>
      <c r="R19" s="105">
        <f>kv.mérleg!U19</f>
        <v>2364576</v>
      </c>
      <c r="S19" s="105" t="s">
        <v>292</v>
      </c>
      <c r="T19" s="105" t="e">
        <f>#REF!</f>
        <v>#REF!</v>
      </c>
      <c r="U19" s="105" t="e">
        <f>#REF!</f>
        <v>#REF!</v>
      </c>
      <c r="V19" s="105" t="e">
        <f>#REF!</f>
        <v>#REF!</v>
      </c>
      <c r="W19" s="105" t="e">
        <f>#REF!</f>
        <v>#REF!</v>
      </c>
      <c r="X19" s="105" t="e">
        <f>#REF!</f>
        <v>#REF!</v>
      </c>
      <c r="Y19" s="105" t="e">
        <f>#REF!</f>
        <v>#REF!</v>
      </c>
      <c r="Z19" s="105" t="e">
        <f>#REF!</f>
        <v>#REF!</v>
      </c>
      <c r="AA19" s="105" t="e">
        <f>#REF!</f>
        <v>#REF!</v>
      </c>
      <c r="AB19" s="105" t="e">
        <f>#REF!</f>
        <v>#REF!</v>
      </c>
      <c r="AC19" s="105" t="e">
        <f>#REF!</f>
        <v>#REF!</v>
      </c>
      <c r="AD19" s="105" t="e">
        <f>#REF!</f>
        <v>#REF!</v>
      </c>
      <c r="AE19" s="105" t="e">
        <f>#REF!</f>
        <v>#REF!</v>
      </c>
      <c r="AF19" s="105" t="e">
        <f>#REF!</f>
        <v>#REF!</v>
      </c>
      <c r="AG19" s="105" t="e">
        <f>#REF!</f>
        <v>#REF!</v>
      </c>
      <c r="AH19" s="105" t="e">
        <f>#REF!</f>
        <v>#REF!</v>
      </c>
      <c r="AI19" s="105" t="e">
        <f>#REF!</f>
        <v>#REF!</v>
      </c>
      <c r="AJ19" s="105" t="e">
        <f>#REF!</f>
        <v>#REF!</v>
      </c>
      <c r="AK19" s="105" t="e">
        <f>#REF!</f>
        <v>#REF!</v>
      </c>
      <c r="AL19" s="105" t="e">
        <f>#REF!</f>
        <v>#REF!</v>
      </c>
      <c r="AM19" s="105">
        <f t="shared" ref="AM19" si="22">B19</f>
        <v>2421111</v>
      </c>
      <c r="AN19" s="105">
        <f t="shared" ref="AN19" si="23">B19</f>
        <v>2421111</v>
      </c>
      <c r="AO19" s="105">
        <f t="shared" ref="AO19" si="24">C19</f>
        <v>2246490</v>
      </c>
      <c r="AP19" s="105">
        <f t="shared" ref="AP19" si="25">D19</f>
        <v>0</v>
      </c>
      <c r="AQ19" s="105">
        <f t="shared" ref="AQ19" si="26">E19</f>
        <v>0</v>
      </c>
      <c r="AR19" s="105">
        <f t="shared" ref="AR19" si="27">F19</f>
        <v>0</v>
      </c>
      <c r="AS19" s="105">
        <f t="shared" ref="AS19" si="28">G19</f>
        <v>0</v>
      </c>
      <c r="AT19" s="105">
        <f t="shared" ref="AT19" si="29">H19</f>
        <v>0</v>
      </c>
      <c r="AU19" s="105">
        <f t="shared" ref="AU19" si="30">I19</f>
        <v>0</v>
      </c>
      <c r="AV19" s="105">
        <f t="shared" ref="AV19" si="31">J19</f>
        <v>0</v>
      </c>
      <c r="AW19" s="105">
        <f t="shared" ref="AW19" si="32">K19</f>
        <v>0</v>
      </c>
      <c r="AX19" s="105">
        <f t="shared" ref="AX19" si="33">L19</f>
        <v>0</v>
      </c>
      <c r="AY19" s="105">
        <f t="shared" ref="AY19" si="34">M19</f>
        <v>0</v>
      </c>
      <c r="AZ19" s="105">
        <f t="shared" ref="AZ19" si="35">N19</f>
        <v>0</v>
      </c>
      <c r="BA19" s="105">
        <f t="shared" ref="BA19" si="36">O19</f>
        <v>0</v>
      </c>
      <c r="BB19" s="105">
        <f t="shared" ref="BB19" si="37">P19</f>
        <v>0</v>
      </c>
      <c r="BC19" s="105">
        <f t="shared" ref="BC19" si="38">Q19</f>
        <v>2353333</v>
      </c>
      <c r="BD19" s="105">
        <f t="shared" ref="BD19" si="39">R19</f>
        <v>2364576</v>
      </c>
    </row>
    <row r="20" spans="1:56">
      <c r="A20" s="103" t="s">
        <v>108</v>
      </c>
      <c r="B20" s="102">
        <f>B14+B18</f>
        <v>11098304</v>
      </c>
      <c r="C20" s="102">
        <f t="shared" ref="C20:M20" si="40">C14+C18</f>
        <v>12241521</v>
      </c>
      <c r="D20" s="102">
        <f t="shared" si="40"/>
        <v>0</v>
      </c>
      <c r="E20" s="102">
        <f t="shared" si="40"/>
        <v>0</v>
      </c>
      <c r="F20" s="102">
        <f t="shared" si="40"/>
        <v>0</v>
      </c>
      <c r="G20" s="102">
        <f t="shared" si="40"/>
        <v>0</v>
      </c>
      <c r="H20" s="102">
        <f t="shared" si="40"/>
        <v>0</v>
      </c>
      <c r="I20" s="102">
        <f t="shared" si="40"/>
        <v>0</v>
      </c>
      <c r="J20" s="102">
        <f t="shared" si="40"/>
        <v>0</v>
      </c>
      <c r="K20" s="102">
        <f t="shared" si="40"/>
        <v>0</v>
      </c>
      <c r="L20" s="102">
        <f t="shared" si="40"/>
        <v>0</v>
      </c>
      <c r="M20" s="102">
        <f t="shared" si="40"/>
        <v>0</v>
      </c>
      <c r="N20" s="102">
        <f>N14+N18</f>
        <v>0</v>
      </c>
      <c r="O20" s="102">
        <f>O14+O18</f>
        <v>0</v>
      </c>
      <c r="P20" s="102">
        <f>P14+P18</f>
        <v>0</v>
      </c>
      <c r="Q20" s="102">
        <f>Q14+Q18</f>
        <v>13718996</v>
      </c>
      <c r="R20" s="102">
        <f>R14+R18</f>
        <v>10867616</v>
      </c>
      <c r="S20" s="102" t="s">
        <v>109</v>
      </c>
      <c r="T20" s="102" t="e">
        <f t="shared" ref="T20:AM20" si="41">T14+T18</f>
        <v>#REF!</v>
      </c>
      <c r="U20" s="102" t="e">
        <f t="shared" si="41"/>
        <v>#REF!</v>
      </c>
      <c r="V20" s="102" t="e">
        <f t="shared" si="41"/>
        <v>#REF!</v>
      </c>
      <c r="W20" s="102" t="e">
        <f t="shared" si="41"/>
        <v>#REF!</v>
      </c>
      <c r="X20" s="102" t="e">
        <f t="shared" si="41"/>
        <v>#REF!</v>
      </c>
      <c r="Y20" s="102" t="e">
        <f t="shared" si="41"/>
        <v>#REF!</v>
      </c>
      <c r="Z20" s="102" t="e">
        <f t="shared" si="41"/>
        <v>#REF!</v>
      </c>
      <c r="AA20" s="102" t="e">
        <f t="shared" si="41"/>
        <v>#REF!</v>
      </c>
      <c r="AB20" s="102" t="e">
        <f t="shared" si="41"/>
        <v>#REF!</v>
      </c>
      <c r="AC20" s="102" t="e">
        <f t="shared" si="41"/>
        <v>#REF!</v>
      </c>
      <c r="AD20" s="102" t="e">
        <f t="shared" si="41"/>
        <v>#REF!</v>
      </c>
      <c r="AE20" s="102" t="e">
        <f t="shared" si="41"/>
        <v>#REF!</v>
      </c>
      <c r="AF20" s="102" t="e">
        <f t="shared" si="41"/>
        <v>#REF!</v>
      </c>
      <c r="AG20" s="102" t="e">
        <f t="shared" si="41"/>
        <v>#REF!</v>
      </c>
      <c r="AH20" s="102" t="e">
        <f t="shared" si="41"/>
        <v>#REF!</v>
      </c>
      <c r="AI20" s="102" t="e">
        <f t="shared" si="41"/>
        <v>#REF!</v>
      </c>
      <c r="AJ20" s="102" t="e">
        <f t="shared" si="41"/>
        <v>#REF!</v>
      </c>
      <c r="AK20" s="102" t="e">
        <f t="shared" si="41"/>
        <v>#REF!</v>
      </c>
      <c r="AL20" s="102" t="e">
        <f t="shared" si="41"/>
        <v>#REF!</v>
      </c>
      <c r="AM20" s="102" t="e">
        <f t="shared" si="41"/>
        <v>#REF!</v>
      </c>
      <c r="AN20" s="102">
        <f>AN14+AN18</f>
        <v>11098304.4</v>
      </c>
      <c r="AO20" s="102">
        <f t="shared" ref="AO20:BD20" si="42">AO14+AO18</f>
        <v>12241521</v>
      </c>
      <c r="AP20" s="102">
        <f t="shared" si="42"/>
        <v>0</v>
      </c>
      <c r="AQ20" s="102">
        <f t="shared" si="42"/>
        <v>0</v>
      </c>
      <c r="AR20" s="102">
        <f t="shared" si="42"/>
        <v>0</v>
      </c>
      <c r="AS20" s="102">
        <f t="shared" si="42"/>
        <v>0</v>
      </c>
      <c r="AT20" s="102">
        <f t="shared" si="42"/>
        <v>0</v>
      </c>
      <c r="AU20" s="102">
        <f t="shared" si="42"/>
        <v>0</v>
      </c>
      <c r="AV20" s="102">
        <f t="shared" si="42"/>
        <v>0</v>
      </c>
      <c r="AW20" s="102">
        <f t="shared" si="42"/>
        <v>0</v>
      </c>
      <c r="AX20" s="102">
        <f t="shared" si="42"/>
        <v>0</v>
      </c>
      <c r="AY20" s="102">
        <f t="shared" si="42"/>
        <v>0</v>
      </c>
      <c r="AZ20" s="102">
        <f t="shared" si="42"/>
        <v>0</v>
      </c>
      <c r="BA20" s="102">
        <f t="shared" si="42"/>
        <v>0</v>
      </c>
      <c r="BB20" s="102">
        <f t="shared" si="42"/>
        <v>0</v>
      </c>
      <c r="BC20" s="102">
        <f t="shared" si="42"/>
        <v>13718996</v>
      </c>
      <c r="BD20" s="102">
        <f t="shared" si="42"/>
        <v>10867616</v>
      </c>
    </row>
    <row r="21" spans="1:56">
      <c r="A21" s="103" t="s">
        <v>110</v>
      </c>
      <c r="B21" s="102">
        <v>8363369</v>
      </c>
      <c r="C21" s="102">
        <v>8351947</v>
      </c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>
        <v>9090331</v>
      </c>
      <c r="R21" s="102">
        <f>kv.mérleg!U21</f>
        <v>8293875</v>
      </c>
      <c r="S21" s="102" t="s">
        <v>111</v>
      </c>
      <c r="T21" s="102" t="e">
        <f>#REF!</f>
        <v>#REF!</v>
      </c>
      <c r="U21" s="102" t="e">
        <f>#REF!</f>
        <v>#REF!</v>
      </c>
      <c r="V21" s="102" t="e">
        <f>#REF!</f>
        <v>#REF!</v>
      </c>
      <c r="W21" s="102" t="e">
        <f>#REF!</f>
        <v>#REF!</v>
      </c>
      <c r="X21" s="102" t="e">
        <f>#REF!</f>
        <v>#REF!</v>
      </c>
      <c r="Y21" s="102" t="e">
        <f>#REF!</f>
        <v>#REF!</v>
      </c>
      <c r="Z21" s="102" t="e">
        <f>#REF!</f>
        <v>#REF!</v>
      </c>
      <c r="AA21" s="102" t="e">
        <f>#REF!</f>
        <v>#REF!</v>
      </c>
      <c r="AB21" s="102" t="e">
        <f>#REF!</f>
        <v>#REF!</v>
      </c>
      <c r="AC21" s="102" t="e">
        <f>#REF!</f>
        <v>#REF!</v>
      </c>
      <c r="AD21" s="102" t="e">
        <f>#REF!</f>
        <v>#REF!</v>
      </c>
      <c r="AE21" s="102" t="e">
        <f>#REF!</f>
        <v>#REF!</v>
      </c>
      <c r="AF21" s="102" t="e">
        <f>#REF!</f>
        <v>#REF!</v>
      </c>
      <c r="AG21" s="102" t="e">
        <f>#REF!</f>
        <v>#REF!</v>
      </c>
      <c r="AH21" s="102" t="e">
        <f>#REF!</f>
        <v>#REF!</v>
      </c>
      <c r="AI21" s="102" t="e">
        <f>#REF!</f>
        <v>#REF!</v>
      </c>
      <c r="AJ21" s="102" t="e">
        <f>#REF!</f>
        <v>#REF!</v>
      </c>
      <c r="AK21" s="102" t="e">
        <f>#REF!</f>
        <v>#REF!</v>
      </c>
      <c r="AL21" s="102" t="e">
        <f>#REF!</f>
        <v>#REF!</v>
      </c>
      <c r="AM21" s="102" t="e">
        <f>#REF!</f>
        <v>#REF!</v>
      </c>
      <c r="AN21" s="102">
        <v>7049687</v>
      </c>
      <c r="AO21" s="102">
        <v>6790043</v>
      </c>
      <c r="AP21" s="102"/>
      <c r="AQ21" s="102"/>
      <c r="AR21" s="102"/>
      <c r="AS21" s="102"/>
      <c r="AT21" s="102"/>
      <c r="AU21" s="102"/>
      <c r="AV21" s="102"/>
      <c r="AW21" s="102"/>
      <c r="AX21" s="102"/>
      <c r="AY21" s="102"/>
      <c r="AZ21" s="102"/>
      <c r="BA21" s="102"/>
      <c r="BB21" s="102"/>
      <c r="BC21" s="102">
        <v>7753494</v>
      </c>
      <c r="BD21" s="102">
        <f>kv.mérleg!AR21</f>
        <v>7017506</v>
      </c>
    </row>
    <row r="22" spans="1:56">
      <c r="A22" s="103" t="s">
        <v>293</v>
      </c>
      <c r="B22" s="102">
        <v>2734935</v>
      </c>
      <c r="C22" s="102">
        <v>3889574</v>
      </c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>
        <v>4628665</v>
      </c>
      <c r="R22" s="102">
        <f>kv.mérleg!U22</f>
        <v>2573741</v>
      </c>
      <c r="S22" s="102" t="s">
        <v>294</v>
      </c>
      <c r="T22" s="102" t="e">
        <f>#REF!</f>
        <v>#REF!</v>
      </c>
      <c r="U22" s="102" t="e">
        <f>#REF!</f>
        <v>#REF!</v>
      </c>
      <c r="V22" s="102" t="e">
        <f>#REF!</f>
        <v>#REF!</v>
      </c>
      <c r="W22" s="102" t="e">
        <f>#REF!</f>
        <v>#REF!</v>
      </c>
      <c r="X22" s="102" t="e">
        <f>#REF!</f>
        <v>#REF!</v>
      </c>
      <c r="Y22" s="102" t="e">
        <f>#REF!</f>
        <v>#REF!</v>
      </c>
      <c r="Z22" s="102" t="e">
        <f>#REF!</f>
        <v>#REF!</v>
      </c>
      <c r="AA22" s="102" t="e">
        <f>#REF!</f>
        <v>#REF!</v>
      </c>
      <c r="AB22" s="102" t="e">
        <f>#REF!</f>
        <v>#REF!</v>
      </c>
      <c r="AC22" s="102" t="e">
        <f>#REF!</f>
        <v>#REF!</v>
      </c>
      <c r="AD22" s="102" t="e">
        <f>#REF!</f>
        <v>#REF!</v>
      </c>
      <c r="AE22" s="102" t="e">
        <f>#REF!</f>
        <v>#REF!</v>
      </c>
      <c r="AF22" s="102" t="e">
        <f>#REF!</f>
        <v>#REF!</v>
      </c>
      <c r="AG22" s="102" t="e">
        <f>#REF!</f>
        <v>#REF!</v>
      </c>
      <c r="AH22" s="102" t="e">
        <f>#REF!</f>
        <v>#REF!</v>
      </c>
      <c r="AI22" s="102" t="e">
        <f>#REF!</f>
        <v>#REF!</v>
      </c>
      <c r="AJ22" s="102" t="e">
        <f>#REF!</f>
        <v>#REF!</v>
      </c>
      <c r="AK22" s="102" t="e">
        <f>#REF!</f>
        <v>#REF!</v>
      </c>
      <c r="AL22" s="102" t="e">
        <f>#REF!</f>
        <v>#REF!</v>
      </c>
      <c r="AM22" s="102" t="e">
        <f>#REF!</f>
        <v>#REF!</v>
      </c>
      <c r="AN22" s="102">
        <v>4048617</v>
      </c>
      <c r="AO22" s="102">
        <v>5451478</v>
      </c>
      <c r="AP22" s="102"/>
      <c r="AQ22" s="102"/>
      <c r="AR22" s="102"/>
      <c r="AS22" s="102"/>
      <c r="AT22" s="102"/>
      <c r="AU22" s="102"/>
      <c r="AV22" s="102"/>
      <c r="AW22" s="102"/>
      <c r="AX22" s="102"/>
      <c r="AY22" s="102"/>
      <c r="AZ22" s="102"/>
      <c r="BA22" s="102"/>
      <c r="BB22" s="102"/>
      <c r="BC22" s="102">
        <v>5965502</v>
      </c>
      <c r="BD22" s="102">
        <f>kv.mérleg!AR22</f>
        <v>3850110</v>
      </c>
    </row>
    <row r="23" spans="1:56">
      <c r="A23" s="675" t="s">
        <v>114</v>
      </c>
      <c r="B23" s="675"/>
      <c r="C23" s="675"/>
      <c r="D23" s="675"/>
      <c r="E23" s="675"/>
      <c r="F23" s="675"/>
      <c r="G23" s="675"/>
      <c r="H23" s="675"/>
      <c r="I23" s="675"/>
      <c r="J23" s="675"/>
      <c r="K23" s="675"/>
      <c r="L23" s="675"/>
      <c r="M23" s="675"/>
      <c r="N23" s="675"/>
      <c r="O23" s="675"/>
      <c r="P23" s="675"/>
      <c r="Q23" s="675"/>
      <c r="R23" s="675"/>
      <c r="S23" s="675"/>
      <c r="T23" s="102" t="e">
        <f>#REF!</f>
        <v>#REF!</v>
      </c>
      <c r="U23" s="102" t="e">
        <f>#REF!</f>
        <v>#REF!</v>
      </c>
      <c r="V23" s="102" t="e">
        <f>#REF!</f>
        <v>#REF!</v>
      </c>
      <c r="W23" s="102" t="e">
        <f>#REF!</f>
        <v>#REF!</v>
      </c>
      <c r="X23" s="102" t="e">
        <f>#REF!</f>
        <v>#REF!</v>
      </c>
      <c r="Y23" s="102" t="e">
        <f>#REF!</f>
        <v>#REF!</v>
      </c>
      <c r="Z23" s="102" t="e">
        <f>#REF!</f>
        <v>#REF!</v>
      </c>
      <c r="AA23" s="102" t="e">
        <f>#REF!</f>
        <v>#REF!</v>
      </c>
      <c r="AB23" s="102" t="e">
        <f>#REF!</f>
        <v>#REF!</v>
      </c>
      <c r="AC23" s="102" t="e">
        <f>#REF!</f>
        <v>#REF!</v>
      </c>
      <c r="AD23" s="102" t="e">
        <f>#REF!</f>
        <v>#REF!</v>
      </c>
      <c r="AE23" s="102" t="e">
        <f>#REF!</f>
        <v>#REF!</v>
      </c>
      <c r="AF23" s="102" t="e">
        <f>#REF!</f>
        <v>#REF!</v>
      </c>
      <c r="AG23" s="102" t="e">
        <f>#REF!</f>
        <v>#REF!</v>
      </c>
      <c r="AH23" s="102" t="e">
        <f>#REF!</f>
        <v>#REF!</v>
      </c>
      <c r="AI23" s="102" t="e">
        <f>#REF!</f>
        <v>#REF!</v>
      </c>
      <c r="AJ23" s="102" t="e">
        <f>#REF!</f>
        <v>#REF!</v>
      </c>
      <c r="AK23" s="102" t="e">
        <f>#REF!</f>
        <v>#REF!</v>
      </c>
      <c r="AL23" s="102" t="e">
        <f>#REF!</f>
        <v>#REF!</v>
      </c>
      <c r="AM23" s="102" t="e">
        <f>#REF!</f>
        <v>#REF!</v>
      </c>
      <c r="AN23" s="102">
        <v>-0.40000000037252903</v>
      </c>
      <c r="AO23" s="102">
        <v>-0.40000000037252903</v>
      </c>
      <c r="AP23" s="102">
        <v>-0.40000000037252903</v>
      </c>
      <c r="AQ23" s="102">
        <v>-0.40000000037252903</v>
      </c>
      <c r="AR23" s="102">
        <v>-0.40000000037252903</v>
      </c>
      <c r="AS23" s="102">
        <v>-0.40000000037252903</v>
      </c>
      <c r="AT23" s="102">
        <v>-0.40000000037252903</v>
      </c>
      <c r="AU23" s="102">
        <v>-0.40000000037252903</v>
      </c>
      <c r="AV23" s="102">
        <v>-0.40000000037252903</v>
      </c>
      <c r="AW23" s="102">
        <v>-0.40000000037252903</v>
      </c>
      <c r="AX23" s="102">
        <v>-0.40000000037252903</v>
      </c>
      <c r="AY23" s="102">
        <v>-0.40000000037252903</v>
      </c>
      <c r="AZ23" s="102">
        <v>-0.40000000037252903</v>
      </c>
      <c r="BA23" s="102">
        <v>-0.40000000037252903</v>
      </c>
      <c r="BB23" s="102">
        <v>-0.40000000037252903</v>
      </c>
      <c r="BC23" s="102">
        <v>-0.40000000037252903</v>
      </c>
      <c r="BD23" s="102">
        <v>-0.40000000037252903</v>
      </c>
    </row>
    <row r="24" spans="1:56">
      <c r="A24" s="674" t="s">
        <v>115</v>
      </c>
      <c r="B24" s="674"/>
      <c r="C24" s="674"/>
      <c r="D24" s="674"/>
      <c r="E24" s="674"/>
      <c r="F24" s="674"/>
      <c r="G24" s="674"/>
      <c r="H24" s="674"/>
      <c r="I24" s="674"/>
      <c r="J24" s="674"/>
      <c r="K24" s="674"/>
      <c r="L24" s="674"/>
      <c r="M24" s="674"/>
      <c r="N24" s="674"/>
      <c r="O24" s="674"/>
      <c r="P24" s="674"/>
      <c r="Q24" s="674"/>
      <c r="R24" s="674"/>
      <c r="S24" s="674"/>
      <c r="T24" s="105" t="e">
        <f>#REF!</f>
        <v>#REF!</v>
      </c>
      <c r="U24" s="105" t="e">
        <f>#REF!</f>
        <v>#REF!</v>
      </c>
      <c r="V24" s="105" t="e">
        <f>#REF!</f>
        <v>#REF!</v>
      </c>
      <c r="W24" s="105" t="e">
        <f>#REF!</f>
        <v>#REF!</v>
      </c>
      <c r="X24" s="105" t="e">
        <f>#REF!</f>
        <v>#REF!</v>
      </c>
      <c r="Y24" s="105" t="e">
        <f>#REF!</f>
        <v>#REF!</v>
      </c>
      <c r="Z24" s="105" t="e">
        <f>#REF!</f>
        <v>#REF!</v>
      </c>
      <c r="AA24" s="105" t="e">
        <f>#REF!</f>
        <v>#REF!</v>
      </c>
      <c r="AB24" s="105" t="e">
        <f>#REF!</f>
        <v>#REF!</v>
      </c>
      <c r="AC24" s="105" t="e">
        <f>#REF!</f>
        <v>#REF!</v>
      </c>
      <c r="AD24" s="105" t="e">
        <f>#REF!</f>
        <v>#REF!</v>
      </c>
      <c r="AE24" s="105" t="e">
        <f>#REF!</f>
        <v>#REF!</v>
      </c>
      <c r="AF24" s="105" t="e">
        <f>#REF!</f>
        <v>#REF!</v>
      </c>
      <c r="AG24" s="105" t="e">
        <f>#REF!</f>
        <v>#REF!</v>
      </c>
      <c r="AH24" s="105" t="e">
        <f>#REF!</f>
        <v>#REF!</v>
      </c>
      <c r="AI24" s="105" t="e">
        <f>#REF!</f>
        <v>#REF!</v>
      </c>
      <c r="AJ24" s="105" t="e">
        <f>#REF!</f>
        <v>#REF!</v>
      </c>
      <c r="AK24" s="105" t="e">
        <f>#REF!</f>
        <v>#REF!</v>
      </c>
      <c r="AL24" s="105" t="e">
        <f>#REF!</f>
        <v>#REF!</v>
      </c>
      <c r="AM24" s="105" t="e">
        <f>#REF!</f>
        <v>#REF!</v>
      </c>
      <c r="AN24" s="105">
        <v>1313682</v>
      </c>
      <c r="AO24" s="105">
        <v>1561904</v>
      </c>
      <c r="AP24" s="105"/>
      <c r="AQ24" s="105"/>
      <c r="AR24" s="105"/>
      <c r="AS24" s="105"/>
      <c r="AT24" s="105"/>
      <c r="AU24" s="105"/>
      <c r="AV24" s="105"/>
      <c r="AW24" s="105"/>
      <c r="AX24" s="105"/>
      <c r="AY24" s="105"/>
      <c r="AZ24" s="105"/>
      <c r="BA24" s="105"/>
      <c r="BB24" s="105"/>
      <c r="BC24" s="105">
        <v>1336837</v>
      </c>
      <c r="BD24" s="105">
        <f>kv.mérleg!AR24</f>
        <v>1276369</v>
      </c>
    </row>
    <row r="25" spans="1:56">
      <c r="A25" s="674" t="s">
        <v>116</v>
      </c>
      <c r="B25" s="674"/>
      <c r="C25" s="674"/>
      <c r="D25" s="674"/>
      <c r="E25" s="674"/>
      <c r="F25" s="674"/>
      <c r="G25" s="674"/>
      <c r="H25" s="674"/>
      <c r="I25" s="674"/>
      <c r="J25" s="674"/>
      <c r="K25" s="674"/>
      <c r="L25" s="674"/>
      <c r="M25" s="674"/>
      <c r="N25" s="674"/>
      <c r="O25" s="674"/>
      <c r="P25" s="674"/>
      <c r="Q25" s="674"/>
      <c r="R25" s="674"/>
      <c r="S25" s="674"/>
      <c r="T25" s="105" t="e">
        <f>#REF!</f>
        <v>#REF!</v>
      </c>
      <c r="U25" s="105" t="e">
        <f>#REF!</f>
        <v>#REF!</v>
      </c>
      <c r="V25" s="105" t="e">
        <f>#REF!</f>
        <v>#REF!</v>
      </c>
      <c r="W25" s="105" t="e">
        <f>#REF!</f>
        <v>#REF!</v>
      </c>
      <c r="X25" s="105" t="e">
        <f>#REF!</f>
        <v>#REF!</v>
      </c>
      <c r="Y25" s="105" t="e">
        <f>#REF!</f>
        <v>#REF!</v>
      </c>
      <c r="Z25" s="105" t="e">
        <f>#REF!</f>
        <v>#REF!</v>
      </c>
      <c r="AA25" s="105" t="e">
        <f>#REF!</f>
        <v>#REF!</v>
      </c>
      <c r="AB25" s="105" t="e">
        <f>#REF!</f>
        <v>#REF!</v>
      </c>
      <c r="AC25" s="105" t="e">
        <f>#REF!</f>
        <v>#REF!</v>
      </c>
      <c r="AD25" s="105" t="e">
        <f>#REF!</f>
        <v>#REF!</v>
      </c>
      <c r="AE25" s="105" t="e">
        <f>#REF!</f>
        <v>#REF!</v>
      </c>
      <c r="AF25" s="105" t="e">
        <f>#REF!</f>
        <v>#REF!</v>
      </c>
      <c r="AG25" s="105" t="e">
        <f>#REF!</f>
        <v>#REF!</v>
      </c>
      <c r="AH25" s="105" t="e">
        <f>#REF!</f>
        <v>#REF!</v>
      </c>
      <c r="AI25" s="105" t="e">
        <f>#REF!</f>
        <v>#REF!</v>
      </c>
      <c r="AJ25" s="105" t="e">
        <f>#REF!</f>
        <v>#REF!</v>
      </c>
      <c r="AK25" s="105" t="e">
        <f>#REF!</f>
        <v>#REF!</v>
      </c>
      <c r="AL25" s="105" t="e">
        <f>#REF!</f>
        <v>#REF!</v>
      </c>
      <c r="AM25" s="105" t="e">
        <f>#REF!</f>
        <v>#REF!</v>
      </c>
      <c r="AN25" s="105">
        <v>-1313682</v>
      </c>
      <c r="AO25" s="105">
        <v>-1561904</v>
      </c>
      <c r="AP25" s="105"/>
      <c r="AQ25" s="105"/>
      <c r="AR25" s="105"/>
      <c r="AS25" s="105"/>
      <c r="AT25" s="105"/>
      <c r="AU25" s="105"/>
      <c r="AV25" s="105"/>
      <c r="AW25" s="105"/>
      <c r="AX25" s="105"/>
      <c r="AY25" s="105"/>
      <c r="AZ25" s="105"/>
      <c r="BA25" s="105"/>
      <c r="BB25" s="105"/>
      <c r="BC25" s="105">
        <v>-1336837</v>
      </c>
      <c r="BD25" s="105">
        <f>kv.mérleg!AR25</f>
        <v>-1276369</v>
      </c>
    </row>
    <row r="26" spans="1:56" ht="31.5">
      <c r="A26" s="40" t="s">
        <v>295</v>
      </c>
      <c r="B26" s="32">
        <f t="shared" ref="B26:R26" si="43">B20-B19</f>
        <v>8677193</v>
      </c>
      <c r="C26" s="32">
        <f t="shared" si="43"/>
        <v>9995031</v>
      </c>
      <c r="D26" s="32">
        <f t="shared" si="43"/>
        <v>0</v>
      </c>
      <c r="E26" s="32">
        <f t="shared" si="43"/>
        <v>0</v>
      </c>
      <c r="F26" s="32">
        <f t="shared" si="43"/>
        <v>0</v>
      </c>
      <c r="G26" s="32">
        <f t="shared" si="43"/>
        <v>0</v>
      </c>
      <c r="H26" s="32">
        <f t="shared" si="43"/>
        <v>0</v>
      </c>
      <c r="I26" s="32">
        <f t="shared" si="43"/>
        <v>0</v>
      </c>
      <c r="J26" s="32">
        <f t="shared" si="43"/>
        <v>0</v>
      </c>
      <c r="K26" s="32">
        <f t="shared" si="43"/>
        <v>0</v>
      </c>
      <c r="L26" s="32">
        <f t="shared" si="43"/>
        <v>0</v>
      </c>
      <c r="M26" s="32">
        <f t="shared" si="43"/>
        <v>0</v>
      </c>
      <c r="N26" s="32">
        <f t="shared" si="43"/>
        <v>0</v>
      </c>
      <c r="O26" s="32">
        <f t="shared" si="43"/>
        <v>0</v>
      </c>
      <c r="P26" s="32">
        <f t="shared" si="43"/>
        <v>0</v>
      </c>
      <c r="Q26" s="32">
        <f t="shared" si="43"/>
        <v>11365663</v>
      </c>
      <c r="R26" s="32">
        <f t="shared" si="43"/>
        <v>8503040</v>
      </c>
      <c r="S26" s="40" t="s">
        <v>296</v>
      </c>
      <c r="T26" s="41" t="e">
        <f t="shared" ref="T26:AM26" si="44">T20-T19</f>
        <v>#REF!</v>
      </c>
      <c r="U26" s="41" t="e">
        <f t="shared" si="44"/>
        <v>#REF!</v>
      </c>
      <c r="V26" s="41" t="e">
        <f t="shared" si="44"/>
        <v>#REF!</v>
      </c>
      <c r="W26" s="41" t="e">
        <f t="shared" si="44"/>
        <v>#REF!</v>
      </c>
      <c r="X26" s="41" t="e">
        <f t="shared" si="44"/>
        <v>#REF!</v>
      </c>
      <c r="Y26" s="41" t="e">
        <f t="shared" si="44"/>
        <v>#REF!</v>
      </c>
      <c r="Z26" s="41" t="e">
        <f t="shared" si="44"/>
        <v>#REF!</v>
      </c>
      <c r="AA26" s="41" t="e">
        <f t="shared" si="44"/>
        <v>#REF!</v>
      </c>
      <c r="AB26" s="41" t="e">
        <f t="shared" si="44"/>
        <v>#REF!</v>
      </c>
      <c r="AC26" s="41" t="e">
        <f t="shared" si="44"/>
        <v>#REF!</v>
      </c>
      <c r="AD26" s="41" t="e">
        <f t="shared" si="44"/>
        <v>#REF!</v>
      </c>
      <c r="AE26" s="41" t="e">
        <f t="shared" si="44"/>
        <v>#REF!</v>
      </c>
      <c r="AF26" s="41" t="e">
        <f t="shared" si="44"/>
        <v>#REF!</v>
      </c>
      <c r="AG26" s="41" t="e">
        <f t="shared" si="44"/>
        <v>#REF!</v>
      </c>
      <c r="AH26" s="41" t="e">
        <f t="shared" si="44"/>
        <v>#REF!</v>
      </c>
      <c r="AI26" s="41" t="e">
        <f t="shared" si="44"/>
        <v>#REF!</v>
      </c>
      <c r="AJ26" s="41" t="e">
        <f t="shared" si="44"/>
        <v>#REF!</v>
      </c>
      <c r="AK26" s="41" t="e">
        <f t="shared" si="44"/>
        <v>#REF!</v>
      </c>
      <c r="AL26" s="41" t="e">
        <f t="shared" si="44"/>
        <v>#REF!</v>
      </c>
      <c r="AM26" s="41" t="e">
        <f t="shared" si="44"/>
        <v>#REF!</v>
      </c>
      <c r="AN26" s="41">
        <f>AN20-AN19</f>
        <v>8677193.4000000004</v>
      </c>
      <c r="AO26" s="41">
        <f t="shared" ref="AO26:BD26" si="45">AO20-AO19</f>
        <v>9995031</v>
      </c>
      <c r="AP26" s="41">
        <f t="shared" si="45"/>
        <v>0</v>
      </c>
      <c r="AQ26" s="41">
        <f t="shared" si="45"/>
        <v>0</v>
      </c>
      <c r="AR26" s="41">
        <f t="shared" si="45"/>
        <v>0</v>
      </c>
      <c r="AS26" s="41">
        <f t="shared" si="45"/>
        <v>0</v>
      </c>
      <c r="AT26" s="41">
        <f t="shared" si="45"/>
        <v>0</v>
      </c>
      <c r="AU26" s="41">
        <f t="shared" si="45"/>
        <v>0</v>
      </c>
      <c r="AV26" s="41">
        <f t="shared" si="45"/>
        <v>0</v>
      </c>
      <c r="AW26" s="41">
        <f t="shared" si="45"/>
        <v>0</v>
      </c>
      <c r="AX26" s="41">
        <f t="shared" si="45"/>
        <v>0</v>
      </c>
      <c r="AY26" s="41">
        <f t="shared" si="45"/>
        <v>0</v>
      </c>
      <c r="AZ26" s="41">
        <f t="shared" si="45"/>
        <v>0</v>
      </c>
      <c r="BA26" s="41">
        <f t="shared" si="45"/>
        <v>0</v>
      </c>
      <c r="BB26" s="41">
        <f t="shared" si="45"/>
        <v>0</v>
      </c>
      <c r="BC26" s="41">
        <f t="shared" si="45"/>
        <v>11365663</v>
      </c>
      <c r="BD26" s="41">
        <f t="shared" si="45"/>
        <v>8503040</v>
      </c>
    </row>
    <row r="27" spans="1:56">
      <c r="A27" s="189"/>
      <c r="B27" s="99"/>
      <c r="C27" s="99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107" t="e">
        <f>#REF!-T26</f>
        <v>#REF!</v>
      </c>
      <c r="U27" s="107" t="e">
        <f>#REF!-U26</f>
        <v>#REF!</v>
      </c>
      <c r="V27" s="107" t="e">
        <f>#REF!-V26</f>
        <v>#REF!</v>
      </c>
      <c r="W27" s="107" t="e">
        <f>#REF!-W26</f>
        <v>#REF!</v>
      </c>
      <c r="X27" s="107" t="e">
        <f>#REF!-X26</f>
        <v>#REF!</v>
      </c>
      <c r="Y27" s="107" t="e">
        <f>#REF!-Y26</f>
        <v>#REF!</v>
      </c>
      <c r="Z27" s="107" t="e">
        <f>#REF!-Z26</f>
        <v>#REF!</v>
      </c>
      <c r="AA27" s="107" t="e">
        <f>#REF!-AA26</f>
        <v>#REF!</v>
      </c>
      <c r="AB27" s="107" t="e">
        <f>#REF!-AB26</f>
        <v>#REF!</v>
      </c>
      <c r="AC27" s="107" t="e">
        <f>#REF!-AC26</f>
        <v>#REF!</v>
      </c>
      <c r="AD27" s="107" t="e">
        <f>#REF!-AD26</f>
        <v>#REF!</v>
      </c>
      <c r="AE27" s="107" t="e">
        <f>#REF!-AE26</f>
        <v>#REF!</v>
      </c>
      <c r="AF27" s="107" t="e">
        <f>#REF!-AF26</f>
        <v>#REF!</v>
      </c>
      <c r="AG27" s="107" t="e">
        <f>#REF!-AG26</f>
        <v>#REF!</v>
      </c>
      <c r="AH27" s="107" t="e">
        <f>#REF!-AH26</f>
        <v>#REF!</v>
      </c>
      <c r="AI27" s="107" t="e">
        <f>#REF!-AI26</f>
        <v>#REF!</v>
      </c>
      <c r="AJ27" s="107" t="e">
        <f>#REF!-AJ26</f>
        <v>#REF!</v>
      </c>
      <c r="AK27" s="107" t="e">
        <f>#REF!-AK26</f>
        <v>#REF!</v>
      </c>
      <c r="AL27" s="107" t="e">
        <f>#REF!-AL26</f>
        <v>#REF!</v>
      </c>
      <c r="AM27" s="107" t="e">
        <f t="shared" ref="AM27" si="46">B26-AM26</f>
        <v>#REF!</v>
      </c>
      <c r="AN27" s="107">
        <f>B26-AN26</f>
        <v>-0.40000000037252903</v>
      </c>
      <c r="AO27" s="107">
        <f t="shared" ref="AO27:BD27" si="47">C26-AO26</f>
        <v>0</v>
      </c>
      <c r="AP27" s="107">
        <f t="shared" si="47"/>
        <v>0</v>
      </c>
      <c r="AQ27" s="107">
        <f t="shared" si="47"/>
        <v>0</v>
      </c>
      <c r="AR27" s="107">
        <f t="shared" si="47"/>
        <v>0</v>
      </c>
      <c r="AS27" s="107">
        <f t="shared" si="47"/>
        <v>0</v>
      </c>
      <c r="AT27" s="107">
        <f t="shared" si="47"/>
        <v>0</v>
      </c>
      <c r="AU27" s="107">
        <f t="shared" si="47"/>
        <v>0</v>
      </c>
      <c r="AV27" s="107">
        <f t="shared" si="47"/>
        <v>0</v>
      </c>
      <c r="AW27" s="107">
        <f t="shared" si="47"/>
        <v>0</v>
      </c>
      <c r="AX27" s="107">
        <f t="shared" si="47"/>
        <v>0</v>
      </c>
      <c r="AY27" s="107">
        <f t="shared" si="47"/>
        <v>0</v>
      </c>
      <c r="AZ27" s="107">
        <f t="shared" si="47"/>
        <v>0</v>
      </c>
      <c r="BA27" s="107">
        <f t="shared" si="47"/>
        <v>0</v>
      </c>
      <c r="BB27" s="107">
        <f t="shared" si="47"/>
        <v>0</v>
      </c>
      <c r="BC27" s="107">
        <f t="shared" si="47"/>
        <v>0</v>
      </c>
      <c r="BD27" s="107">
        <f t="shared" si="47"/>
        <v>0</v>
      </c>
    </row>
    <row r="28" spans="1:56">
      <c r="A28" s="189"/>
      <c r="B28" s="99"/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99"/>
      <c r="AL28" s="99"/>
      <c r="AM28" s="99"/>
      <c r="AN28" s="99"/>
      <c r="AO28" s="99"/>
      <c r="AP28" s="99"/>
      <c r="AQ28" s="99"/>
      <c r="AR28" s="99"/>
      <c r="AS28" s="99"/>
      <c r="AT28" s="99"/>
      <c r="AU28" s="99"/>
      <c r="AV28" s="99"/>
      <c r="AW28" s="99"/>
      <c r="AX28" s="99"/>
      <c r="AY28" s="99"/>
      <c r="AZ28" s="99"/>
      <c r="BA28" s="99"/>
      <c r="BB28" s="99"/>
      <c r="BC28" s="99"/>
      <c r="BD28" s="99"/>
    </row>
    <row r="29" spans="1:56">
      <c r="A29" s="189"/>
      <c r="B29" s="99"/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99"/>
      <c r="AL29" s="99"/>
      <c r="AM29" s="99"/>
      <c r="AN29" s="99"/>
      <c r="AO29" s="99"/>
      <c r="AP29" s="99"/>
      <c r="AQ29" s="99"/>
      <c r="AR29" s="99"/>
      <c r="AS29" s="99"/>
      <c r="AT29" s="99"/>
      <c r="AU29" s="99"/>
      <c r="AV29" s="99"/>
      <c r="AW29" s="99"/>
      <c r="AX29" s="99"/>
      <c r="AY29" s="99"/>
      <c r="AZ29" s="99"/>
      <c r="BA29" s="99"/>
      <c r="BB29" s="99"/>
      <c r="BC29" s="99"/>
      <c r="BD29" s="99"/>
    </row>
    <row r="30" spans="1:56">
      <c r="A30" s="189"/>
      <c r="B30" s="99"/>
      <c r="C30" s="99"/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99"/>
      <c r="AM30" s="99"/>
      <c r="AN30" s="99"/>
      <c r="AO30" s="99"/>
      <c r="AP30" s="99"/>
      <c r="AQ30" s="99"/>
      <c r="AR30" s="99"/>
      <c r="AS30" s="99"/>
      <c r="AT30" s="99"/>
      <c r="AU30" s="99"/>
      <c r="AV30" s="99"/>
      <c r="AW30" s="99"/>
      <c r="AX30" s="99"/>
      <c r="AY30" s="99"/>
      <c r="AZ30" s="99"/>
      <c r="BA30" s="99"/>
      <c r="BB30" s="99"/>
      <c r="BC30" s="99"/>
      <c r="BD30" s="99"/>
    </row>
    <row r="31" spans="1:56">
      <c r="A31" s="190"/>
      <c r="B31" s="99"/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99"/>
      <c r="Z31" s="99"/>
      <c r="AA31" s="99"/>
      <c r="AB31" s="99"/>
      <c r="AC31" s="99"/>
      <c r="AD31" s="99"/>
      <c r="AE31" s="99"/>
      <c r="AF31" s="99"/>
      <c r="AG31" s="99"/>
      <c r="AH31" s="99"/>
      <c r="AI31" s="99"/>
      <c r="AJ31" s="99"/>
      <c r="AK31" s="99"/>
      <c r="AL31" s="99"/>
      <c r="AM31" s="99"/>
      <c r="AN31" s="99"/>
      <c r="AO31" s="99"/>
      <c r="AP31" s="99"/>
      <c r="AQ31" s="99"/>
      <c r="AR31" s="99"/>
      <c r="AS31" s="99"/>
      <c r="AT31" s="99"/>
      <c r="AU31" s="99"/>
      <c r="AV31" s="99"/>
      <c r="AW31" s="99"/>
      <c r="AX31" s="99"/>
      <c r="AY31" s="99"/>
      <c r="AZ31" s="99"/>
      <c r="BA31" s="99"/>
      <c r="BB31" s="99"/>
      <c r="BC31" s="99"/>
      <c r="BD31" s="99"/>
    </row>
    <row r="32" spans="1:56">
      <c r="A32" s="190"/>
      <c r="B32" s="99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  <c r="AN32" s="99"/>
      <c r="AO32" s="99"/>
      <c r="AP32" s="99"/>
      <c r="AQ32" s="99"/>
      <c r="AR32" s="99"/>
      <c r="AS32" s="99"/>
      <c r="AT32" s="99"/>
      <c r="AU32" s="99"/>
      <c r="AV32" s="99"/>
      <c r="AW32" s="99"/>
      <c r="AX32" s="99"/>
      <c r="AY32" s="99"/>
      <c r="AZ32" s="99"/>
      <c r="BA32" s="99"/>
      <c r="BB32" s="99"/>
      <c r="BC32" s="99"/>
      <c r="BD32" s="99"/>
    </row>
    <row r="33" spans="1:56">
      <c r="A33" s="190"/>
      <c r="B33" s="99"/>
      <c r="C33" s="99"/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  <c r="AL33" s="99"/>
      <c r="AM33" s="99"/>
      <c r="AN33" s="99"/>
      <c r="AO33" s="99"/>
      <c r="AP33" s="99"/>
      <c r="AQ33" s="99"/>
      <c r="AR33" s="99"/>
      <c r="AS33" s="99"/>
      <c r="AT33" s="99"/>
      <c r="AU33" s="99"/>
      <c r="AV33" s="99"/>
      <c r="AW33" s="99"/>
      <c r="AX33" s="99"/>
      <c r="AY33" s="99"/>
      <c r="AZ33" s="99"/>
      <c r="BA33" s="99"/>
      <c r="BB33" s="99"/>
      <c r="BC33" s="99"/>
      <c r="BD33" s="99"/>
    </row>
    <row r="34" spans="1:56">
      <c r="A34" s="190"/>
      <c r="B34" s="99"/>
      <c r="C34" s="99"/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99"/>
      <c r="AL34" s="99"/>
      <c r="AM34" s="99"/>
      <c r="AN34" s="99"/>
      <c r="AO34" s="99"/>
      <c r="AP34" s="99"/>
      <c r="AQ34" s="99"/>
      <c r="AR34" s="99"/>
      <c r="AS34" s="99"/>
      <c r="AT34" s="99"/>
      <c r="AU34" s="99"/>
      <c r="AV34" s="99"/>
      <c r="AW34" s="99"/>
      <c r="AX34" s="99"/>
      <c r="AY34" s="99"/>
      <c r="AZ34" s="99"/>
      <c r="BA34" s="99"/>
      <c r="BB34" s="99"/>
      <c r="BC34" s="99"/>
      <c r="BD34" s="99"/>
    </row>
    <row r="35" spans="1:56">
      <c r="A35" s="190"/>
      <c r="B35" s="99"/>
      <c r="C35" s="99"/>
      <c r="D35" s="99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99"/>
      <c r="AF35" s="99"/>
      <c r="AG35" s="99"/>
      <c r="AH35" s="99"/>
      <c r="AI35" s="99"/>
      <c r="AJ35" s="99"/>
      <c r="AK35" s="99"/>
      <c r="AL35" s="99"/>
      <c r="AM35" s="99"/>
      <c r="AN35" s="99"/>
      <c r="AO35" s="99"/>
      <c r="AP35" s="99"/>
      <c r="AQ35" s="99"/>
      <c r="AR35" s="99"/>
      <c r="AS35" s="99"/>
      <c r="AT35" s="99"/>
      <c r="AU35" s="99"/>
      <c r="AV35" s="99"/>
      <c r="AW35" s="99"/>
      <c r="AX35" s="99"/>
      <c r="AY35" s="99"/>
      <c r="AZ35" s="99"/>
      <c r="BA35" s="99"/>
      <c r="BB35" s="99"/>
      <c r="BC35" s="99"/>
      <c r="BD35" s="99"/>
    </row>
    <row r="36" spans="1:56">
      <c r="A36" s="190"/>
      <c r="B36" s="99"/>
      <c r="C36" s="99"/>
      <c r="D36" s="99"/>
      <c r="E36" s="99"/>
      <c r="F36" s="99"/>
      <c r="G36" s="99"/>
      <c r="H36" s="99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  <c r="AN36" s="99"/>
      <c r="AO36" s="99"/>
      <c r="AP36" s="99"/>
      <c r="AQ36" s="99"/>
      <c r="AR36" s="99"/>
      <c r="AS36" s="99"/>
      <c r="AT36" s="99"/>
      <c r="AU36" s="99"/>
      <c r="AV36" s="99"/>
      <c r="AW36" s="99"/>
      <c r="AX36" s="99"/>
      <c r="AY36" s="99"/>
      <c r="AZ36" s="99"/>
      <c r="BA36" s="99"/>
      <c r="BB36" s="99"/>
      <c r="BC36" s="99"/>
      <c r="BD36" s="99"/>
    </row>
    <row r="37" spans="1:56">
      <c r="A37" s="190"/>
      <c r="B37" s="99"/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108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/>
      <c r="AT37" s="109"/>
      <c r="AU37" s="109"/>
      <c r="AV37" s="109"/>
      <c r="AW37" s="109"/>
      <c r="AX37" s="109"/>
      <c r="AY37" s="109"/>
      <c r="AZ37" s="109"/>
      <c r="BA37" s="109"/>
      <c r="BB37" s="109"/>
      <c r="BC37" s="109"/>
      <c r="BD37" s="109"/>
    </row>
    <row r="38" spans="1:56">
      <c r="A38" s="190"/>
      <c r="B38" s="99"/>
      <c r="C38" s="99"/>
      <c r="D38" s="99"/>
      <c r="E38" s="99"/>
      <c r="F38" s="99"/>
      <c r="G38" s="99"/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99"/>
      <c r="AM38" s="99"/>
      <c r="AN38" s="99"/>
      <c r="AO38" s="99"/>
      <c r="AP38" s="99"/>
      <c r="AQ38" s="99"/>
      <c r="AR38" s="99"/>
      <c r="AS38" s="99"/>
      <c r="AT38" s="99"/>
      <c r="AU38" s="99"/>
      <c r="AV38" s="99"/>
      <c r="AW38" s="99"/>
      <c r="AX38" s="99"/>
      <c r="AY38" s="99"/>
      <c r="AZ38" s="99"/>
      <c r="BA38" s="99"/>
      <c r="BB38" s="99"/>
      <c r="BC38" s="99"/>
      <c r="BD38" s="99"/>
    </row>
    <row r="39" spans="1:56">
      <c r="A39" s="190"/>
      <c r="B39" s="99"/>
      <c r="C39" s="99"/>
      <c r="D39" s="99"/>
      <c r="E39" s="99"/>
      <c r="F39" s="99"/>
      <c r="G39" s="99"/>
      <c r="H39" s="99"/>
      <c r="I39" s="99"/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99"/>
      <c r="Y39" s="99"/>
      <c r="Z39" s="99"/>
      <c r="AA39" s="99"/>
      <c r="AB39" s="99"/>
      <c r="AC39" s="99"/>
      <c r="AD39" s="99"/>
      <c r="AE39" s="99"/>
      <c r="AF39" s="99"/>
      <c r="AG39" s="99"/>
      <c r="AH39" s="99"/>
      <c r="AI39" s="99"/>
      <c r="AJ39" s="99"/>
      <c r="AK39" s="99"/>
      <c r="AL39" s="99"/>
      <c r="AM39" s="99"/>
      <c r="AN39" s="99"/>
      <c r="AO39" s="99"/>
      <c r="AP39" s="99"/>
      <c r="AQ39" s="99"/>
      <c r="AR39" s="99"/>
      <c r="AS39" s="99"/>
      <c r="AT39" s="99"/>
      <c r="AU39" s="99"/>
      <c r="AV39" s="99"/>
      <c r="AW39" s="99"/>
      <c r="AX39" s="99"/>
      <c r="AY39" s="99"/>
      <c r="AZ39" s="99"/>
      <c r="BA39" s="99"/>
      <c r="BB39" s="99"/>
      <c r="BC39" s="99"/>
      <c r="BD39" s="99"/>
    </row>
    <row r="40" spans="1:56">
      <c r="A40" s="190"/>
      <c r="B40" s="99"/>
      <c r="C40" s="99"/>
      <c r="D40" s="99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</row>
    <row r="41" spans="1:56">
      <c r="A41" s="190"/>
      <c r="B41" s="99"/>
      <c r="C41" s="99"/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99"/>
      <c r="Z41" s="99"/>
      <c r="AA41" s="99"/>
      <c r="AB41" s="99"/>
      <c r="AC41" s="99"/>
      <c r="AD41" s="99"/>
      <c r="AE41" s="99"/>
      <c r="AF41" s="99"/>
      <c r="AG41" s="99"/>
      <c r="AH41" s="99"/>
      <c r="AI41" s="99"/>
      <c r="AJ41" s="99"/>
      <c r="AK41" s="99"/>
      <c r="AL41" s="99"/>
      <c r="AM41" s="99"/>
      <c r="AN41" s="99"/>
      <c r="AO41" s="99"/>
      <c r="AP41" s="99"/>
      <c r="AQ41" s="99"/>
      <c r="AR41" s="99"/>
      <c r="AS41" s="99"/>
      <c r="AT41" s="99"/>
      <c r="AU41" s="99"/>
      <c r="AV41" s="99"/>
      <c r="AW41" s="99"/>
      <c r="AX41" s="99"/>
      <c r="AY41" s="99"/>
      <c r="AZ41" s="99"/>
      <c r="BA41" s="99"/>
      <c r="BB41" s="99"/>
      <c r="BC41" s="99"/>
      <c r="BD41" s="99"/>
    </row>
    <row r="42" spans="1:56">
      <c r="A42" s="189"/>
      <c r="B42" s="99"/>
      <c r="C42" s="99"/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99"/>
      <c r="AI42" s="99"/>
      <c r="AJ42" s="99"/>
      <c r="AK42" s="99"/>
      <c r="AL42" s="99"/>
      <c r="AM42" s="99"/>
      <c r="AN42" s="99"/>
      <c r="AO42" s="99"/>
      <c r="AP42" s="99"/>
      <c r="AQ42" s="99"/>
      <c r="AR42" s="99"/>
      <c r="AS42" s="99"/>
      <c r="AT42" s="99"/>
      <c r="AU42" s="99"/>
      <c r="AV42" s="99"/>
      <c r="AW42" s="99"/>
      <c r="AX42" s="99"/>
      <c r="AY42" s="99"/>
      <c r="AZ42" s="99"/>
      <c r="BA42" s="99"/>
      <c r="BB42" s="99"/>
      <c r="BC42" s="99"/>
      <c r="BD42" s="99"/>
    </row>
    <row r="43" spans="1:56">
      <c r="A43" s="189"/>
      <c r="B43" s="99"/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99"/>
      <c r="AA43" s="99"/>
      <c r="AB43" s="99"/>
      <c r="AC43" s="99"/>
      <c r="AD43" s="99"/>
      <c r="AE43" s="99"/>
      <c r="AF43" s="99"/>
      <c r="AG43" s="99"/>
      <c r="AH43" s="99"/>
      <c r="AI43" s="99"/>
      <c r="AJ43" s="99"/>
      <c r="AK43" s="99"/>
      <c r="AL43" s="99"/>
      <c r="AM43" s="99"/>
      <c r="AN43" s="99"/>
      <c r="AO43" s="99"/>
      <c r="AP43" s="99"/>
      <c r="AQ43" s="99"/>
      <c r="AR43" s="99"/>
      <c r="AS43" s="99"/>
      <c r="AT43" s="99"/>
      <c r="AU43" s="99"/>
      <c r="AV43" s="99"/>
      <c r="AW43" s="99"/>
      <c r="AX43" s="99"/>
      <c r="AY43" s="99"/>
      <c r="AZ43" s="99"/>
      <c r="BA43" s="99"/>
      <c r="BB43" s="99"/>
      <c r="BC43" s="99"/>
      <c r="BD43" s="99"/>
    </row>
    <row r="44" spans="1:56">
      <c r="A44" s="189"/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/>
      <c r="AT44" s="109"/>
      <c r="AU44" s="109"/>
      <c r="AV44" s="109"/>
      <c r="AW44" s="109"/>
      <c r="AX44" s="109"/>
      <c r="AY44" s="109"/>
      <c r="AZ44" s="109"/>
      <c r="BA44" s="109"/>
      <c r="BB44" s="109"/>
      <c r="BC44" s="109"/>
      <c r="BD44" s="109"/>
    </row>
    <row r="45" spans="1:56">
      <c r="A45" s="189"/>
      <c r="B45" s="99"/>
      <c r="C45" s="99"/>
      <c r="D45" s="99"/>
      <c r="E45" s="99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99"/>
      <c r="V45" s="99"/>
      <c r="W45" s="99"/>
      <c r="X45" s="99"/>
      <c r="Y45" s="99"/>
      <c r="Z45" s="99"/>
      <c r="AA45" s="99"/>
      <c r="AB45" s="99"/>
      <c r="AC45" s="99"/>
      <c r="AD45" s="99"/>
      <c r="AE45" s="99"/>
      <c r="AF45" s="99"/>
      <c r="AG45" s="99"/>
      <c r="AH45" s="99"/>
      <c r="AI45" s="99"/>
      <c r="AJ45" s="99"/>
      <c r="AK45" s="99"/>
      <c r="AL45" s="99"/>
      <c r="AM45" s="99"/>
      <c r="AN45" s="99"/>
      <c r="AO45" s="99"/>
      <c r="AP45" s="99"/>
      <c r="AQ45" s="99"/>
      <c r="AR45" s="99"/>
      <c r="AS45" s="99"/>
      <c r="AT45" s="99"/>
      <c r="AU45" s="99"/>
      <c r="AV45" s="99"/>
      <c r="AW45" s="99"/>
      <c r="AX45" s="99"/>
      <c r="AY45" s="99"/>
      <c r="AZ45" s="99"/>
      <c r="BA45" s="99"/>
      <c r="BB45" s="99"/>
      <c r="BC45" s="99"/>
      <c r="BD45" s="99"/>
    </row>
    <row r="46" spans="1:56">
      <c r="A46" s="189"/>
      <c r="B46" s="99"/>
      <c r="C46" s="99"/>
      <c r="D46" s="99"/>
      <c r="E46" s="99"/>
      <c r="F46" s="99"/>
      <c r="G46" s="99"/>
      <c r="H46" s="99"/>
      <c r="I46" s="99"/>
      <c r="J46" s="99"/>
      <c r="K46" s="99"/>
      <c r="L46" s="99"/>
      <c r="M46" s="99"/>
      <c r="N46" s="99"/>
      <c r="O46" s="99"/>
      <c r="P46" s="99"/>
      <c r="Q46" s="99"/>
      <c r="R46" s="99"/>
      <c r="S46" s="99"/>
      <c r="T46" s="99"/>
      <c r="U46" s="99"/>
      <c r="V46" s="99"/>
      <c r="W46" s="99"/>
      <c r="X46" s="99"/>
      <c r="Y46" s="99"/>
      <c r="Z46" s="99"/>
      <c r="AA46" s="99"/>
      <c r="AB46" s="99"/>
      <c r="AC46" s="99"/>
      <c r="AD46" s="99"/>
      <c r="AE46" s="99"/>
      <c r="AF46" s="99"/>
      <c r="AG46" s="99"/>
      <c r="AH46" s="99"/>
      <c r="AI46" s="99"/>
      <c r="AJ46" s="99"/>
      <c r="AK46" s="99"/>
      <c r="AL46" s="99"/>
      <c r="AM46" s="99"/>
      <c r="AN46" s="99"/>
      <c r="AO46" s="99"/>
      <c r="AP46" s="99"/>
      <c r="AQ46" s="99"/>
      <c r="AR46" s="99"/>
      <c r="AS46" s="99"/>
      <c r="AT46" s="99"/>
      <c r="AU46" s="99"/>
      <c r="AV46" s="99"/>
      <c r="AW46" s="99"/>
      <c r="AX46" s="99"/>
      <c r="AY46" s="99"/>
      <c r="AZ46" s="99"/>
      <c r="BA46" s="99"/>
      <c r="BB46" s="99"/>
      <c r="BC46" s="99"/>
      <c r="BD46" s="99"/>
    </row>
    <row r="47" spans="1:56">
      <c r="A47" s="191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99"/>
      <c r="O47" s="99"/>
      <c r="P47" s="99"/>
      <c r="Q47" s="99"/>
      <c r="R47" s="99"/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F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/>
      <c r="AT47" s="109"/>
      <c r="AU47" s="109"/>
      <c r="AV47" s="109"/>
      <c r="AW47" s="109"/>
      <c r="AX47" s="109"/>
      <c r="AY47" s="109"/>
      <c r="AZ47" s="109"/>
      <c r="BA47" s="109"/>
      <c r="BB47" s="109"/>
      <c r="BC47" s="109"/>
      <c r="BD47" s="109"/>
    </row>
    <row r="48" spans="1:56">
      <c r="A48" s="191"/>
      <c r="B48" s="109"/>
      <c r="C48" s="109"/>
      <c r="D48" s="109"/>
      <c r="E48" s="109"/>
      <c r="F48" s="109"/>
      <c r="G48" s="109"/>
      <c r="H48" s="109"/>
      <c r="I48" s="109"/>
      <c r="J48" s="109"/>
      <c r="K48" s="109"/>
      <c r="L48" s="109"/>
      <c r="M48" s="109"/>
      <c r="N48" s="109"/>
      <c r="O48" s="109"/>
      <c r="P48" s="109"/>
      <c r="Q48" s="109"/>
      <c r="R48" s="109"/>
      <c r="S48" s="99"/>
      <c r="T48" s="99"/>
      <c r="U48" s="99"/>
      <c r="V48" s="99"/>
      <c r="W48" s="99"/>
      <c r="X48" s="99"/>
      <c r="Y48" s="99"/>
      <c r="Z48" s="99"/>
      <c r="AA48" s="99"/>
      <c r="AB48" s="99"/>
      <c r="AC48" s="99"/>
      <c r="AD48" s="99"/>
      <c r="AE48" s="99"/>
      <c r="AF48" s="99"/>
      <c r="AG48" s="99"/>
      <c r="AH48" s="99"/>
      <c r="AI48" s="99"/>
      <c r="AJ48" s="99"/>
      <c r="AK48" s="99"/>
      <c r="AL48" s="99"/>
      <c r="AM48" s="99"/>
      <c r="AN48" s="99"/>
      <c r="AO48" s="99"/>
      <c r="AP48" s="99"/>
      <c r="AQ48" s="99"/>
      <c r="AR48" s="99"/>
      <c r="AS48" s="99"/>
      <c r="AT48" s="99"/>
      <c r="AU48" s="99"/>
      <c r="AV48" s="99"/>
      <c r="AW48" s="99"/>
      <c r="AX48" s="99"/>
      <c r="AY48" s="99"/>
      <c r="AZ48" s="99"/>
      <c r="BA48" s="99"/>
      <c r="BB48" s="99"/>
      <c r="BC48" s="99"/>
      <c r="BD48" s="99"/>
    </row>
    <row r="49" spans="1:56">
      <c r="A49" s="189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  <c r="N49" s="99"/>
      <c r="O49" s="99"/>
      <c r="P49" s="99"/>
      <c r="Q49" s="99"/>
      <c r="R49" s="99"/>
      <c r="S49" s="99"/>
      <c r="T49" s="99"/>
      <c r="U49" s="99"/>
      <c r="V49" s="99"/>
      <c r="W49" s="99"/>
      <c r="X49" s="99"/>
      <c r="Y49" s="99"/>
      <c r="Z49" s="99"/>
      <c r="AA49" s="99"/>
      <c r="AB49" s="99"/>
      <c r="AC49" s="99"/>
      <c r="AD49" s="99"/>
      <c r="AE49" s="99"/>
      <c r="AF49" s="99"/>
      <c r="AG49" s="99"/>
      <c r="AH49" s="99"/>
      <c r="AI49" s="99"/>
      <c r="AJ49" s="99"/>
      <c r="AK49" s="99"/>
      <c r="AL49" s="99"/>
      <c r="AM49" s="99"/>
      <c r="AN49" s="99"/>
      <c r="AO49" s="99"/>
      <c r="AP49" s="99"/>
      <c r="AQ49" s="99"/>
      <c r="AR49" s="99"/>
      <c r="AS49" s="99"/>
      <c r="AT49" s="99"/>
      <c r="AU49" s="99"/>
      <c r="AV49" s="99"/>
      <c r="AW49" s="99"/>
      <c r="AX49" s="99"/>
      <c r="AY49" s="99"/>
      <c r="AZ49" s="99"/>
      <c r="BA49" s="99"/>
      <c r="BB49" s="99"/>
      <c r="BC49" s="99"/>
      <c r="BD49" s="99"/>
    </row>
    <row r="50" spans="1:56">
      <c r="A50" s="189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  <c r="N50" s="99"/>
      <c r="O50" s="99"/>
      <c r="P50" s="99"/>
      <c r="Q50" s="99"/>
      <c r="R50" s="99"/>
      <c r="S50" s="99"/>
      <c r="T50" s="99"/>
      <c r="U50" s="99"/>
      <c r="V50" s="99"/>
      <c r="W50" s="99"/>
      <c r="X50" s="99"/>
      <c r="Y50" s="99"/>
      <c r="Z50" s="99"/>
      <c r="AA50" s="99"/>
      <c r="AB50" s="99"/>
      <c r="AC50" s="99"/>
      <c r="AD50" s="99"/>
      <c r="AE50" s="99"/>
      <c r="AF50" s="99"/>
      <c r="AG50" s="99"/>
      <c r="AH50" s="99"/>
      <c r="AI50" s="99"/>
      <c r="AJ50" s="99"/>
      <c r="AK50" s="99"/>
      <c r="AL50" s="99"/>
      <c r="AM50" s="99"/>
      <c r="AN50" s="99"/>
      <c r="AO50" s="99"/>
      <c r="AP50" s="99"/>
      <c r="AQ50" s="99"/>
      <c r="AR50" s="99"/>
      <c r="AS50" s="99"/>
      <c r="AT50" s="99"/>
      <c r="AU50" s="99"/>
      <c r="AV50" s="99"/>
      <c r="AW50" s="99"/>
      <c r="AX50" s="99"/>
      <c r="AY50" s="99"/>
      <c r="AZ50" s="99"/>
      <c r="BA50" s="99"/>
      <c r="BB50" s="99"/>
      <c r="BC50" s="99"/>
      <c r="BD50" s="99"/>
    </row>
    <row r="51" spans="1:56">
      <c r="A51" s="191"/>
      <c r="B51" s="109"/>
      <c r="C51" s="109"/>
      <c r="D51" s="109"/>
      <c r="E51" s="109"/>
      <c r="F51" s="109"/>
      <c r="G51" s="109"/>
      <c r="H51" s="109"/>
      <c r="I51" s="109"/>
      <c r="J51" s="109"/>
      <c r="K51" s="109"/>
      <c r="L51" s="109"/>
      <c r="M51" s="109"/>
      <c r="N51" s="109"/>
      <c r="O51" s="109"/>
      <c r="P51" s="109"/>
      <c r="Q51" s="109"/>
      <c r="R51" s="109"/>
      <c r="S51" s="99"/>
      <c r="T51" s="99"/>
      <c r="U51" s="99"/>
      <c r="V51" s="99"/>
      <c r="W51" s="99"/>
      <c r="X51" s="99"/>
      <c r="Y51" s="99"/>
      <c r="Z51" s="99"/>
      <c r="AA51" s="99"/>
      <c r="AB51" s="99"/>
      <c r="AC51" s="99"/>
      <c r="AD51" s="99"/>
      <c r="AE51" s="99"/>
      <c r="AF51" s="99"/>
      <c r="AG51" s="99"/>
      <c r="AH51" s="99"/>
      <c r="AI51" s="99"/>
      <c r="AJ51" s="99"/>
      <c r="AK51" s="99"/>
      <c r="AL51" s="99"/>
      <c r="AM51" s="99"/>
      <c r="AN51" s="99"/>
      <c r="AO51" s="99"/>
      <c r="AP51" s="99"/>
      <c r="AQ51" s="99"/>
      <c r="AR51" s="99"/>
      <c r="AS51" s="99"/>
      <c r="AT51" s="99"/>
      <c r="AU51" s="99"/>
      <c r="AV51" s="99"/>
      <c r="AW51" s="99"/>
      <c r="AX51" s="99"/>
      <c r="AY51" s="99"/>
      <c r="AZ51" s="99"/>
      <c r="BA51" s="99"/>
      <c r="BB51" s="99"/>
      <c r="BC51" s="99"/>
      <c r="BD51" s="99"/>
    </row>
    <row r="52" spans="1:56">
      <c r="A52" s="189"/>
      <c r="B52" s="99"/>
      <c r="C52" s="99"/>
      <c r="D52" s="99"/>
      <c r="E52" s="99"/>
      <c r="F52" s="99"/>
      <c r="G52" s="99"/>
      <c r="H52" s="99"/>
      <c r="I52" s="99"/>
      <c r="J52" s="99"/>
      <c r="K52" s="99"/>
      <c r="L52" s="99"/>
      <c r="M52" s="99"/>
      <c r="N52" s="99"/>
      <c r="O52" s="99"/>
      <c r="P52" s="99"/>
      <c r="Q52" s="99"/>
      <c r="R52" s="99"/>
      <c r="S52" s="99"/>
      <c r="T52" s="99"/>
      <c r="U52" s="99"/>
      <c r="V52" s="99"/>
      <c r="W52" s="99"/>
      <c r="X52" s="99"/>
      <c r="Y52" s="99"/>
      <c r="Z52" s="99"/>
      <c r="AA52" s="99"/>
      <c r="AB52" s="99"/>
      <c r="AC52" s="99"/>
      <c r="AD52" s="99"/>
      <c r="AE52" s="99"/>
      <c r="AF52" s="99"/>
      <c r="AG52" s="99"/>
      <c r="AH52" s="99"/>
      <c r="AI52" s="99"/>
      <c r="AJ52" s="99"/>
      <c r="AK52" s="99"/>
      <c r="AL52" s="99"/>
      <c r="AM52" s="99"/>
      <c r="AN52" s="99"/>
      <c r="AO52" s="99"/>
      <c r="AP52" s="99"/>
      <c r="AQ52" s="99"/>
      <c r="AR52" s="99"/>
      <c r="AS52" s="99"/>
      <c r="AT52" s="99"/>
      <c r="AU52" s="99"/>
      <c r="AV52" s="99"/>
      <c r="AW52" s="99"/>
      <c r="AX52" s="99"/>
      <c r="AY52" s="99"/>
      <c r="AZ52" s="99"/>
      <c r="BA52" s="99"/>
      <c r="BB52" s="99"/>
      <c r="BC52" s="99"/>
      <c r="BD52" s="99"/>
    </row>
    <row r="53" spans="1:56">
      <c r="A53" s="189"/>
      <c r="B53" s="99"/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99"/>
      <c r="Y53" s="99"/>
      <c r="Z53" s="99"/>
      <c r="AA53" s="99"/>
      <c r="AB53" s="99"/>
      <c r="AC53" s="99"/>
      <c r="AD53" s="99"/>
      <c r="AE53" s="99"/>
      <c r="AF53" s="99"/>
      <c r="AG53" s="99"/>
      <c r="AH53" s="99"/>
      <c r="AI53" s="99"/>
      <c r="AJ53" s="99"/>
      <c r="AK53" s="99"/>
      <c r="AL53" s="99"/>
      <c r="AM53" s="99"/>
      <c r="AN53" s="99"/>
      <c r="AO53" s="99"/>
      <c r="AP53" s="99"/>
      <c r="AQ53" s="99"/>
      <c r="AR53" s="99"/>
      <c r="AS53" s="99"/>
      <c r="AT53" s="99"/>
      <c r="AU53" s="99"/>
      <c r="AV53" s="99"/>
      <c r="AW53" s="99"/>
      <c r="AX53" s="99"/>
      <c r="AY53" s="99"/>
      <c r="AZ53" s="99"/>
      <c r="BA53" s="99"/>
      <c r="BB53" s="99"/>
      <c r="BC53" s="99"/>
      <c r="BD53" s="99"/>
    </row>
    <row r="54" spans="1:56">
      <c r="A54" s="191"/>
      <c r="B54" s="109"/>
      <c r="C54" s="109"/>
      <c r="D54" s="109"/>
      <c r="E54" s="109"/>
      <c r="F54" s="109"/>
      <c r="G54" s="109"/>
      <c r="H54" s="109"/>
      <c r="I54" s="109"/>
      <c r="J54" s="109"/>
      <c r="K54" s="109"/>
      <c r="L54" s="109"/>
      <c r="M54" s="109"/>
      <c r="N54" s="109"/>
      <c r="O54" s="109"/>
      <c r="P54" s="109"/>
      <c r="Q54" s="109"/>
      <c r="R54" s="109"/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F54" s="109"/>
      <c r="AG54" s="109"/>
      <c r="AH54" s="109"/>
      <c r="AI54" s="109"/>
      <c r="AJ54" s="109"/>
      <c r="AK54" s="109"/>
      <c r="AL54" s="109"/>
      <c r="AM54" s="109"/>
      <c r="AN54" s="109"/>
      <c r="AO54" s="109"/>
      <c r="AP54" s="109"/>
      <c r="AQ54" s="109"/>
      <c r="AR54" s="109"/>
      <c r="AS54" s="109"/>
      <c r="AT54" s="109"/>
      <c r="AU54" s="109"/>
      <c r="AV54" s="109"/>
      <c r="AW54" s="109"/>
      <c r="AX54" s="109"/>
      <c r="AY54" s="109"/>
      <c r="AZ54" s="109"/>
      <c r="BA54" s="109"/>
      <c r="BB54" s="109"/>
      <c r="BC54" s="109"/>
      <c r="BD54" s="109"/>
    </row>
    <row r="55" spans="1:56">
      <c r="A55" s="189"/>
      <c r="B55" s="99"/>
      <c r="C55" s="99"/>
      <c r="D55" s="99"/>
      <c r="E55" s="99"/>
      <c r="F55" s="99"/>
      <c r="G55" s="99"/>
      <c r="H55" s="99"/>
      <c r="I55" s="99"/>
      <c r="J55" s="99"/>
      <c r="K55" s="99"/>
      <c r="L55" s="99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99"/>
      <c r="Y55" s="99"/>
      <c r="Z55" s="99"/>
      <c r="AA55" s="99"/>
      <c r="AB55" s="99"/>
      <c r="AC55" s="99"/>
      <c r="AD55" s="99"/>
      <c r="AE55" s="99"/>
      <c r="AF55" s="99"/>
      <c r="AG55" s="99"/>
      <c r="AH55" s="99"/>
      <c r="AI55" s="99"/>
      <c r="AJ55" s="99"/>
      <c r="AK55" s="99"/>
      <c r="AL55" s="99"/>
      <c r="AM55" s="99"/>
      <c r="AN55" s="99"/>
      <c r="AO55" s="99"/>
      <c r="AP55" s="99"/>
      <c r="AQ55" s="99"/>
      <c r="AR55" s="99"/>
      <c r="AS55" s="99"/>
      <c r="AT55" s="99"/>
      <c r="AU55" s="99"/>
      <c r="AV55" s="99"/>
      <c r="AW55" s="99"/>
      <c r="AX55" s="99"/>
      <c r="AY55" s="99"/>
      <c r="AZ55" s="99"/>
      <c r="BA55" s="99"/>
      <c r="BB55" s="99"/>
      <c r="BC55" s="99"/>
      <c r="BD55" s="99"/>
    </row>
    <row r="56" spans="1:56">
      <c r="A56" s="189"/>
      <c r="B56" s="99"/>
      <c r="C56" s="99"/>
      <c r="D56" s="99"/>
      <c r="E56" s="99"/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99"/>
      <c r="Q56" s="99"/>
      <c r="R56" s="99"/>
      <c r="S56" s="109"/>
      <c r="T56" s="110"/>
      <c r="U56" s="110"/>
      <c r="V56" s="110"/>
      <c r="W56" s="110"/>
      <c r="X56" s="110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10"/>
      <c r="AJ56" s="110"/>
      <c r="AK56" s="110"/>
      <c r="AL56" s="110"/>
      <c r="AM56" s="110"/>
      <c r="AN56" s="110"/>
      <c r="AO56" s="110"/>
      <c r="AP56" s="110"/>
      <c r="AQ56" s="110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0"/>
      <c r="BC56" s="110"/>
      <c r="BD56" s="110"/>
    </row>
    <row r="57" spans="1:56">
      <c r="A57" s="189"/>
      <c r="B57" s="99"/>
      <c r="C57" s="99"/>
      <c r="D57" s="99"/>
      <c r="E57" s="99"/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99"/>
      <c r="Q57" s="99"/>
      <c r="R57" s="99"/>
      <c r="S57" s="99"/>
      <c r="T57" s="99"/>
      <c r="U57" s="99"/>
      <c r="V57" s="99"/>
      <c r="W57" s="99"/>
      <c r="X57" s="99"/>
      <c r="Y57" s="99"/>
      <c r="Z57" s="99"/>
      <c r="AA57" s="99"/>
      <c r="AB57" s="99"/>
      <c r="AC57" s="99"/>
      <c r="AD57" s="99"/>
      <c r="AE57" s="99"/>
      <c r="AF57" s="99"/>
      <c r="AG57" s="99"/>
      <c r="AH57" s="99"/>
      <c r="AI57" s="99"/>
      <c r="AJ57" s="99"/>
      <c r="AK57" s="99"/>
      <c r="AL57" s="99"/>
      <c r="AM57" s="99"/>
      <c r="AN57" s="99"/>
      <c r="AO57" s="99"/>
      <c r="AP57" s="99"/>
      <c r="AQ57" s="99"/>
      <c r="AR57" s="99"/>
      <c r="AS57" s="99"/>
      <c r="AT57" s="99"/>
      <c r="AU57" s="99"/>
      <c r="AV57" s="99"/>
      <c r="AW57" s="99"/>
      <c r="AX57" s="99"/>
      <c r="AY57" s="99"/>
      <c r="AZ57" s="99"/>
      <c r="BA57" s="99"/>
      <c r="BB57" s="99"/>
      <c r="BC57" s="99"/>
      <c r="BD57" s="99"/>
    </row>
    <row r="58" spans="1:56">
      <c r="A58" s="189"/>
      <c r="B58" s="99"/>
      <c r="C58" s="99"/>
      <c r="D58" s="99"/>
      <c r="E58" s="99"/>
      <c r="F58" s="99"/>
      <c r="G58" s="99"/>
      <c r="H58" s="99"/>
      <c r="I58" s="99"/>
      <c r="J58" s="99"/>
      <c r="K58" s="99"/>
      <c r="L58" s="99"/>
      <c r="M58" s="99"/>
      <c r="N58" s="99"/>
      <c r="O58" s="99"/>
      <c r="P58" s="99"/>
      <c r="Q58" s="99"/>
      <c r="R58" s="99"/>
      <c r="S58" s="99"/>
      <c r="T58" s="99"/>
      <c r="U58" s="99"/>
      <c r="V58" s="99"/>
      <c r="W58" s="99"/>
      <c r="X58" s="99"/>
      <c r="Y58" s="99"/>
      <c r="Z58" s="99"/>
      <c r="AA58" s="99"/>
      <c r="AB58" s="99"/>
      <c r="AC58" s="99"/>
      <c r="AD58" s="99"/>
      <c r="AE58" s="99"/>
      <c r="AF58" s="99"/>
      <c r="AG58" s="99"/>
      <c r="AH58" s="99"/>
      <c r="AI58" s="99"/>
      <c r="AJ58" s="99"/>
      <c r="AK58" s="99"/>
      <c r="AL58" s="99"/>
      <c r="AM58" s="99"/>
      <c r="AN58" s="99"/>
      <c r="AO58" s="99"/>
      <c r="AP58" s="99"/>
      <c r="AQ58" s="99"/>
      <c r="AR58" s="99"/>
      <c r="AS58" s="99"/>
      <c r="AT58" s="99"/>
      <c r="AU58" s="99"/>
      <c r="AV58" s="99"/>
      <c r="AW58" s="99"/>
      <c r="AX58" s="99"/>
      <c r="AY58" s="99"/>
      <c r="AZ58" s="99"/>
      <c r="BA58" s="99"/>
      <c r="BB58" s="99"/>
      <c r="BC58" s="99"/>
      <c r="BD58" s="99"/>
    </row>
    <row r="59" spans="1:56">
      <c r="A59" s="189"/>
      <c r="B59" s="99"/>
      <c r="C59" s="99"/>
      <c r="D59" s="99"/>
      <c r="E59" s="99"/>
      <c r="F59" s="99"/>
      <c r="G59" s="99"/>
      <c r="H59" s="99"/>
      <c r="I59" s="99"/>
      <c r="J59" s="99"/>
      <c r="K59" s="99"/>
      <c r="L59" s="99"/>
      <c r="M59" s="99"/>
      <c r="N59" s="99"/>
      <c r="O59" s="99"/>
      <c r="P59" s="99"/>
      <c r="Q59" s="99"/>
      <c r="R59" s="99"/>
      <c r="S59" s="99"/>
      <c r="T59" s="99"/>
      <c r="U59" s="99"/>
      <c r="V59" s="99"/>
      <c r="W59" s="99"/>
      <c r="X59" s="99"/>
      <c r="Y59" s="99"/>
      <c r="Z59" s="99"/>
      <c r="AA59" s="99"/>
      <c r="AB59" s="99"/>
      <c r="AC59" s="99"/>
      <c r="AD59" s="99"/>
      <c r="AE59" s="99"/>
      <c r="AF59" s="99"/>
      <c r="AG59" s="99"/>
      <c r="AH59" s="99"/>
      <c r="AI59" s="99"/>
      <c r="AJ59" s="99"/>
      <c r="AK59" s="99"/>
      <c r="AL59" s="99"/>
      <c r="AM59" s="99"/>
      <c r="AN59" s="99"/>
      <c r="AO59" s="99"/>
      <c r="AP59" s="99"/>
      <c r="AQ59" s="99"/>
      <c r="AR59" s="99"/>
      <c r="AS59" s="99"/>
      <c r="AT59" s="99"/>
      <c r="AU59" s="99"/>
      <c r="AV59" s="99"/>
      <c r="AW59" s="99"/>
      <c r="AX59" s="99"/>
      <c r="AY59" s="99"/>
      <c r="AZ59" s="99"/>
      <c r="BA59" s="99"/>
      <c r="BB59" s="99"/>
      <c r="BC59" s="99"/>
      <c r="BD59" s="99"/>
    </row>
    <row r="60" spans="1:56">
      <c r="A60" s="189"/>
      <c r="B60" s="99"/>
      <c r="C60" s="99"/>
      <c r="D60" s="99"/>
      <c r="E60" s="99"/>
      <c r="F60" s="99"/>
      <c r="G60" s="99"/>
      <c r="H60" s="99"/>
      <c r="I60" s="99"/>
      <c r="J60" s="99"/>
      <c r="K60" s="99"/>
      <c r="L60" s="99"/>
      <c r="M60" s="99"/>
      <c r="N60" s="99"/>
      <c r="O60" s="99"/>
      <c r="P60" s="99"/>
      <c r="Q60" s="99"/>
      <c r="R60" s="99"/>
      <c r="S60" s="99"/>
      <c r="T60" s="99"/>
      <c r="U60" s="99"/>
      <c r="V60" s="99"/>
      <c r="W60" s="99"/>
      <c r="X60" s="99"/>
      <c r="Y60" s="99"/>
      <c r="Z60" s="99"/>
      <c r="AA60" s="99"/>
      <c r="AB60" s="99"/>
      <c r="AC60" s="99"/>
      <c r="AD60" s="99"/>
      <c r="AE60" s="99"/>
      <c r="AF60" s="99"/>
      <c r="AG60" s="99"/>
      <c r="AH60" s="99"/>
      <c r="AI60" s="99"/>
      <c r="AJ60" s="99"/>
      <c r="AK60" s="99"/>
      <c r="AL60" s="99"/>
      <c r="AM60" s="99"/>
      <c r="AN60" s="99"/>
      <c r="AO60" s="99"/>
      <c r="AP60" s="99"/>
      <c r="AQ60" s="99"/>
      <c r="AR60" s="99"/>
      <c r="AS60" s="99"/>
      <c r="AT60" s="99"/>
      <c r="AU60" s="99"/>
      <c r="AV60" s="99"/>
      <c r="AW60" s="99"/>
      <c r="AX60" s="99"/>
      <c r="AY60" s="99"/>
      <c r="AZ60" s="99"/>
      <c r="BA60" s="99"/>
      <c r="BB60" s="99"/>
      <c r="BC60" s="99"/>
      <c r="BD60" s="99"/>
    </row>
    <row r="61" spans="1:56">
      <c r="A61" s="189"/>
      <c r="B61" s="99"/>
      <c r="C61" s="99"/>
      <c r="D61" s="99"/>
      <c r="E61" s="99"/>
      <c r="F61" s="99"/>
      <c r="G61" s="99"/>
      <c r="H61" s="99"/>
      <c r="I61" s="99"/>
      <c r="J61" s="99"/>
      <c r="K61" s="99"/>
      <c r="L61" s="99"/>
      <c r="M61" s="99"/>
      <c r="N61" s="99"/>
      <c r="O61" s="99"/>
      <c r="P61" s="99"/>
      <c r="Q61" s="99"/>
      <c r="R61" s="99"/>
      <c r="S61" s="99"/>
      <c r="T61" s="99"/>
      <c r="U61" s="99"/>
      <c r="V61" s="99"/>
      <c r="W61" s="99"/>
      <c r="X61" s="99"/>
      <c r="Y61" s="99"/>
      <c r="Z61" s="99"/>
      <c r="AA61" s="99"/>
      <c r="AB61" s="99"/>
      <c r="AC61" s="99"/>
      <c r="AD61" s="99"/>
      <c r="AE61" s="99"/>
      <c r="AF61" s="99"/>
      <c r="AG61" s="99"/>
      <c r="AH61" s="99"/>
      <c r="AI61" s="99"/>
      <c r="AJ61" s="99"/>
      <c r="AK61" s="99"/>
      <c r="AL61" s="99"/>
      <c r="AM61" s="99"/>
      <c r="AN61" s="99"/>
      <c r="AO61" s="99"/>
      <c r="AP61" s="99"/>
      <c r="AQ61" s="99"/>
      <c r="AR61" s="99"/>
      <c r="AS61" s="99"/>
      <c r="AT61" s="99"/>
      <c r="AU61" s="99"/>
      <c r="AV61" s="99"/>
      <c r="AW61" s="99"/>
      <c r="AX61" s="99"/>
      <c r="AY61" s="99"/>
      <c r="AZ61" s="99"/>
      <c r="BA61" s="99"/>
      <c r="BB61" s="99"/>
      <c r="BC61" s="99"/>
      <c r="BD61" s="99"/>
    </row>
    <row r="62" spans="1:56">
      <c r="A62" s="189"/>
      <c r="B62" s="99"/>
      <c r="C62" s="99"/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  <c r="T62" s="99"/>
      <c r="U62" s="99"/>
      <c r="V62" s="99"/>
      <c r="W62" s="99"/>
      <c r="X62" s="99"/>
      <c r="Y62" s="99"/>
      <c r="Z62" s="99"/>
      <c r="AA62" s="99"/>
      <c r="AB62" s="99"/>
      <c r="AC62" s="99"/>
      <c r="AD62" s="99"/>
      <c r="AE62" s="99"/>
      <c r="AF62" s="99"/>
      <c r="AG62" s="99"/>
      <c r="AH62" s="99"/>
      <c r="AI62" s="99"/>
      <c r="AJ62" s="99"/>
      <c r="AK62" s="99"/>
      <c r="AL62" s="99"/>
      <c r="AM62" s="99"/>
      <c r="AN62" s="99"/>
      <c r="AO62" s="99"/>
      <c r="AP62" s="99"/>
      <c r="AQ62" s="99"/>
      <c r="AR62" s="99"/>
      <c r="AS62" s="99"/>
      <c r="AT62" s="99"/>
      <c r="AU62" s="99"/>
      <c r="AV62" s="99"/>
      <c r="AW62" s="99"/>
      <c r="AX62" s="99"/>
      <c r="AY62" s="99"/>
      <c r="AZ62" s="99"/>
      <c r="BA62" s="99"/>
      <c r="BB62" s="99"/>
      <c r="BC62" s="99"/>
      <c r="BD62" s="99"/>
    </row>
    <row r="63" spans="1:56">
      <c r="A63" s="189"/>
      <c r="B63" s="99"/>
      <c r="C63" s="99"/>
      <c r="D63" s="99"/>
      <c r="E63" s="99"/>
      <c r="F63" s="99"/>
      <c r="G63" s="99"/>
      <c r="H63" s="99"/>
      <c r="I63" s="99"/>
      <c r="J63" s="99"/>
      <c r="K63" s="99"/>
      <c r="L63" s="99"/>
      <c r="M63" s="99"/>
      <c r="N63" s="99"/>
      <c r="O63" s="99"/>
      <c r="P63" s="99"/>
      <c r="Q63" s="99"/>
      <c r="R63" s="99"/>
      <c r="S63" s="99"/>
      <c r="T63" s="99"/>
      <c r="U63" s="99"/>
      <c r="V63" s="99"/>
      <c r="W63" s="99"/>
      <c r="X63" s="99"/>
      <c r="Y63" s="99"/>
      <c r="Z63" s="99"/>
      <c r="AA63" s="99"/>
      <c r="AB63" s="99"/>
      <c r="AC63" s="99"/>
      <c r="AD63" s="99"/>
      <c r="AE63" s="99"/>
      <c r="AF63" s="99"/>
      <c r="AG63" s="99"/>
      <c r="AH63" s="99"/>
      <c r="AI63" s="99"/>
      <c r="AJ63" s="99"/>
      <c r="AK63" s="99"/>
      <c r="AL63" s="99"/>
      <c r="AM63" s="99"/>
      <c r="AN63" s="99"/>
      <c r="AO63" s="99"/>
      <c r="AP63" s="99"/>
      <c r="AQ63" s="99"/>
      <c r="AR63" s="99"/>
      <c r="AS63" s="99"/>
      <c r="AT63" s="99"/>
      <c r="AU63" s="99"/>
      <c r="AV63" s="99"/>
      <c r="AW63" s="99"/>
      <c r="AX63" s="99"/>
      <c r="AY63" s="99"/>
      <c r="AZ63" s="99"/>
      <c r="BA63" s="99"/>
      <c r="BB63" s="99"/>
      <c r="BC63" s="99"/>
      <c r="BD63" s="99"/>
    </row>
    <row r="64" spans="1:56">
      <c r="A64" s="189"/>
      <c r="B64" s="99"/>
      <c r="C64" s="99"/>
      <c r="D64" s="99"/>
      <c r="E64" s="99"/>
      <c r="F64" s="99"/>
      <c r="G64" s="99"/>
      <c r="H64" s="99"/>
      <c r="I64" s="99"/>
      <c r="J64" s="99"/>
      <c r="K64" s="99"/>
      <c r="L64" s="99"/>
      <c r="M64" s="99"/>
      <c r="N64" s="99"/>
      <c r="O64" s="99"/>
      <c r="P64" s="99"/>
      <c r="Q64" s="99"/>
      <c r="R64" s="99"/>
      <c r="S64" s="99"/>
      <c r="T64" s="99"/>
      <c r="U64" s="99"/>
      <c r="V64" s="99"/>
      <c r="W64" s="99"/>
      <c r="X64" s="99"/>
      <c r="Y64" s="99"/>
      <c r="Z64" s="99"/>
      <c r="AA64" s="99"/>
      <c r="AB64" s="99"/>
      <c r="AC64" s="99"/>
      <c r="AD64" s="99"/>
      <c r="AE64" s="99"/>
      <c r="AF64" s="99"/>
      <c r="AG64" s="99"/>
      <c r="AH64" s="99"/>
      <c r="AI64" s="99"/>
      <c r="AJ64" s="99"/>
      <c r="AK64" s="99"/>
      <c r="AL64" s="99"/>
      <c r="AM64" s="99"/>
      <c r="AN64" s="99"/>
      <c r="AO64" s="99"/>
      <c r="AP64" s="99"/>
      <c r="AQ64" s="99"/>
      <c r="AR64" s="99"/>
      <c r="AS64" s="99"/>
      <c r="AT64" s="99"/>
      <c r="AU64" s="99"/>
      <c r="AV64" s="99"/>
      <c r="AW64" s="99"/>
      <c r="AX64" s="99"/>
      <c r="AY64" s="99"/>
      <c r="AZ64" s="99"/>
      <c r="BA64" s="99"/>
      <c r="BB64" s="99"/>
      <c r="BC64" s="99"/>
      <c r="BD64" s="99"/>
    </row>
    <row r="65" spans="1:56">
      <c r="A65" s="189"/>
      <c r="B65" s="99"/>
      <c r="C65" s="99"/>
      <c r="D65" s="99"/>
      <c r="E65" s="99"/>
      <c r="F65" s="99"/>
      <c r="G65" s="99"/>
      <c r="H65" s="99"/>
      <c r="I65" s="99"/>
      <c r="J65" s="99"/>
      <c r="K65" s="99"/>
      <c r="L65" s="99"/>
      <c r="M65" s="99"/>
      <c r="N65" s="99"/>
      <c r="O65" s="99"/>
      <c r="P65" s="99"/>
      <c r="Q65" s="99"/>
      <c r="R65" s="99"/>
      <c r="S65" s="99"/>
      <c r="T65" s="99"/>
      <c r="U65" s="99"/>
      <c r="V65" s="99"/>
      <c r="W65" s="99"/>
      <c r="X65" s="99"/>
      <c r="Y65" s="99"/>
      <c r="Z65" s="99"/>
      <c r="AA65" s="99"/>
      <c r="AB65" s="99"/>
      <c r="AC65" s="99"/>
      <c r="AD65" s="99"/>
      <c r="AE65" s="99"/>
      <c r="AF65" s="99"/>
      <c r="AG65" s="99"/>
      <c r="AH65" s="99"/>
      <c r="AI65" s="99"/>
      <c r="AJ65" s="99"/>
      <c r="AK65" s="99"/>
      <c r="AL65" s="99"/>
      <c r="AM65" s="99"/>
      <c r="AN65" s="99"/>
      <c r="AO65" s="99"/>
      <c r="AP65" s="99"/>
      <c r="AQ65" s="99"/>
      <c r="AR65" s="99"/>
      <c r="AS65" s="99"/>
      <c r="AT65" s="99"/>
      <c r="AU65" s="99"/>
      <c r="AV65" s="99"/>
      <c r="AW65" s="99"/>
      <c r="AX65" s="99"/>
      <c r="AY65" s="99"/>
      <c r="AZ65" s="99"/>
      <c r="BA65" s="99"/>
      <c r="BB65" s="99"/>
      <c r="BC65" s="99"/>
      <c r="BD65" s="99"/>
    </row>
    <row r="66" spans="1:56">
      <c r="A66" s="189"/>
      <c r="B66" s="99"/>
      <c r="C66" s="99"/>
      <c r="D66" s="99"/>
      <c r="E66" s="99"/>
      <c r="F66" s="99"/>
      <c r="G66" s="99"/>
      <c r="H66" s="99"/>
      <c r="I66" s="99"/>
      <c r="J66" s="99"/>
      <c r="K66" s="99"/>
      <c r="L66" s="99"/>
      <c r="M66" s="99"/>
      <c r="N66" s="99"/>
      <c r="O66" s="99"/>
      <c r="P66" s="99"/>
      <c r="Q66" s="99"/>
      <c r="R66" s="99"/>
      <c r="S66" s="99"/>
      <c r="T66" s="99"/>
      <c r="U66" s="99"/>
      <c r="V66" s="99"/>
      <c r="W66" s="99"/>
      <c r="X66" s="99"/>
      <c r="Y66" s="99"/>
      <c r="Z66" s="99"/>
      <c r="AA66" s="99"/>
      <c r="AB66" s="99"/>
      <c r="AC66" s="99"/>
      <c r="AD66" s="99"/>
      <c r="AE66" s="99"/>
      <c r="AF66" s="99"/>
      <c r="AG66" s="99"/>
      <c r="AH66" s="99"/>
      <c r="AI66" s="99"/>
      <c r="AJ66" s="99"/>
      <c r="AK66" s="99"/>
      <c r="AL66" s="99"/>
      <c r="AM66" s="99"/>
      <c r="AN66" s="99"/>
      <c r="AO66" s="99"/>
      <c r="AP66" s="99"/>
      <c r="AQ66" s="99"/>
      <c r="AR66" s="99"/>
      <c r="AS66" s="99"/>
      <c r="AT66" s="99"/>
      <c r="AU66" s="99"/>
      <c r="AV66" s="99"/>
      <c r="AW66" s="99"/>
      <c r="AX66" s="99"/>
      <c r="AY66" s="99"/>
      <c r="AZ66" s="99"/>
      <c r="BA66" s="99"/>
      <c r="BB66" s="99"/>
      <c r="BC66" s="99"/>
      <c r="BD66" s="99"/>
    </row>
    <row r="67" spans="1:56">
      <c r="A67" s="189"/>
      <c r="B67" s="99"/>
      <c r="C67" s="99"/>
      <c r="D67" s="99"/>
      <c r="E67" s="99"/>
      <c r="F67" s="99"/>
      <c r="G67" s="99"/>
      <c r="H67" s="99"/>
      <c r="I67" s="99"/>
      <c r="J67" s="99"/>
      <c r="K67" s="99"/>
      <c r="L67" s="99"/>
      <c r="M67" s="99"/>
      <c r="N67" s="99"/>
      <c r="O67" s="99"/>
      <c r="P67" s="99"/>
      <c r="Q67" s="99"/>
      <c r="R67" s="99"/>
      <c r="S67" s="99"/>
      <c r="T67" s="99"/>
      <c r="U67" s="99"/>
      <c r="V67" s="99"/>
      <c r="W67" s="99"/>
      <c r="X67" s="99"/>
      <c r="Y67" s="99"/>
      <c r="Z67" s="99"/>
      <c r="AA67" s="99"/>
      <c r="AB67" s="99"/>
      <c r="AC67" s="99"/>
      <c r="AD67" s="99"/>
      <c r="AE67" s="99"/>
      <c r="AF67" s="99"/>
      <c r="AG67" s="99"/>
      <c r="AH67" s="99"/>
      <c r="AI67" s="99"/>
      <c r="AJ67" s="99"/>
      <c r="AK67" s="99"/>
      <c r="AL67" s="99"/>
      <c r="AM67" s="99"/>
      <c r="AN67" s="99"/>
      <c r="AO67" s="99"/>
      <c r="AP67" s="99"/>
      <c r="AQ67" s="99"/>
      <c r="AR67" s="99"/>
      <c r="AS67" s="99"/>
      <c r="AT67" s="99"/>
      <c r="AU67" s="99"/>
      <c r="AV67" s="99"/>
      <c r="AW67" s="99"/>
      <c r="AX67" s="99"/>
      <c r="AY67" s="99"/>
      <c r="AZ67" s="99"/>
      <c r="BA67" s="99"/>
      <c r="BB67" s="99"/>
      <c r="BC67" s="99"/>
      <c r="BD67" s="99"/>
    </row>
    <row r="68" spans="1:56">
      <c r="A68" s="189"/>
      <c r="B68" s="99"/>
      <c r="C68" s="99"/>
      <c r="D68" s="99"/>
      <c r="E68" s="99"/>
      <c r="F68" s="99"/>
      <c r="G68" s="99"/>
      <c r="H68" s="99"/>
      <c r="I68" s="99"/>
      <c r="J68" s="99"/>
      <c r="K68" s="99"/>
      <c r="L68" s="99"/>
      <c r="M68" s="99"/>
      <c r="N68" s="99"/>
      <c r="O68" s="99"/>
      <c r="P68" s="99"/>
      <c r="Q68" s="99"/>
      <c r="R68" s="99"/>
      <c r="S68" s="99"/>
      <c r="T68" s="99"/>
      <c r="U68" s="99"/>
      <c r="V68" s="99"/>
      <c r="W68" s="99"/>
      <c r="X68" s="99"/>
      <c r="Y68" s="99"/>
      <c r="Z68" s="99"/>
      <c r="AA68" s="99"/>
      <c r="AB68" s="99"/>
      <c r="AC68" s="99"/>
      <c r="AD68" s="99"/>
      <c r="AE68" s="99"/>
      <c r="AF68" s="99"/>
      <c r="AG68" s="99"/>
      <c r="AH68" s="99"/>
      <c r="AI68" s="99"/>
      <c r="AJ68" s="99"/>
      <c r="AK68" s="99"/>
      <c r="AL68" s="99"/>
      <c r="AM68" s="99"/>
      <c r="AN68" s="99"/>
      <c r="AO68" s="99"/>
      <c r="AP68" s="99"/>
      <c r="AQ68" s="99"/>
      <c r="AR68" s="99"/>
      <c r="AS68" s="99"/>
      <c r="AT68" s="99"/>
      <c r="AU68" s="99"/>
      <c r="AV68" s="99"/>
      <c r="AW68" s="99"/>
      <c r="AX68" s="99"/>
      <c r="AY68" s="99"/>
      <c r="AZ68" s="99"/>
      <c r="BA68" s="99"/>
      <c r="BB68" s="99"/>
      <c r="BC68" s="99"/>
      <c r="BD68" s="99"/>
    </row>
  </sheetData>
  <mergeCells count="11">
    <mergeCell ref="A15:S15"/>
    <mergeCell ref="BB1:BD1"/>
    <mergeCell ref="A2:BD2"/>
    <mergeCell ref="C4:Q4"/>
    <mergeCell ref="T4:T5"/>
    <mergeCell ref="AO4:BC4"/>
    <mergeCell ref="A16:S16"/>
    <mergeCell ref="A17:S17"/>
    <mergeCell ref="A23:S23"/>
    <mergeCell ref="A24:S24"/>
    <mergeCell ref="A25:S25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6"/>
  <sheetViews>
    <sheetView view="pageBreakPreview" zoomScaleNormal="100" zoomScaleSheetLayoutView="100" workbookViewId="0">
      <selection activeCell="F9" sqref="F9"/>
    </sheetView>
  </sheetViews>
  <sheetFormatPr defaultRowHeight="15.75"/>
  <cols>
    <col min="1" max="1" width="36.28515625" style="653" customWidth="1"/>
    <col min="2" max="2" width="14.42578125" style="653" customWidth="1"/>
    <col min="3" max="3" width="13.7109375" style="653" customWidth="1"/>
    <col min="4" max="4" width="13" style="653" customWidth="1"/>
    <col min="5" max="13" width="12.28515625" style="653" customWidth="1"/>
    <col min="14" max="16384" width="9.140625" style="653"/>
  </cols>
  <sheetData>
    <row r="1" spans="1:13">
      <c r="J1" s="667" t="s">
        <v>822</v>
      </c>
    </row>
    <row r="2" spans="1:13">
      <c r="A2" s="682" t="s">
        <v>1049</v>
      </c>
      <c r="B2" s="682"/>
      <c r="C2" s="682"/>
      <c r="D2" s="682"/>
      <c r="E2" s="682"/>
      <c r="F2" s="682"/>
      <c r="G2" s="682"/>
      <c r="H2" s="682"/>
      <c r="I2" s="682"/>
      <c r="J2" s="682"/>
      <c r="K2" s="652"/>
      <c r="L2" s="652"/>
      <c r="M2" s="652"/>
    </row>
    <row r="3" spans="1:13">
      <c r="J3" s="653" t="s">
        <v>119</v>
      </c>
    </row>
    <row r="4" spans="1:13">
      <c r="A4" s="680" t="s">
        <v>170</v>
      </c>
      <c r="B4" s="681" t="s">
        <v>1050</v>
      </c>
      <c r="C4" s="681"/>
      <c r="D4" s="681"/>
      <c r="E4" s="681" t="s">
        <v>1051</v>
      </c>
      <c r="F4" s="681"/>
      <c r="G4" s="681"/>
      <c r="H4" s="681" t="s">
        <v>1052</v>
      </c>
      <c r="I4" s="681"/>
      <c r="J4" s="681"/>
    </row>
    <row r="5" spans="1:13" ht="47.25">
      <c r="A5" s="680"/>
      <c r="B5" s="654" t="s">
        <v>1053</v>
      </c>
      <c r="C5" s="655" t="s">
        <v>1054</v>
      </c>
      <c r="D5" s="655" t="s">
        <v>1055</v>
      </c>
      <c r="E5" s="654" t="s">
        <v>1053</v>
      </c>
      <c r="F5" s="655" t="s">
        <v>1054</v>
      </c>
      <c r="G5" s="655" t="s">
        <v>1055</v>
      </c>
      <c r="H5" s="656" t="s">
        <v>1056</v>
      </c>
      <c r="I5" s="655" t="s">
        <v>1054</v>
      </c>
      <c r="J5" s="655" t="s">
        <v>1055</v>
      </c>
    </row>
    <row r="6" spans="1:13">
      <c r="A6" s="657" t="s">
        <v>1057</v>
      </c>
      <c r="B6" s="658">
        <f>C6+D6</f>
        <v>88</v>
      </c>
      <c r="C6" s="658">
        <v>75</v>
      </c>
      <c r="D6" s="658">
        <v>13</v>
      </c>
      <c r="E6" s="659">
        <f t="shared" ref="E6:E11" si="0">F6+G6</f>
        <v>74</v>
      </c>
      <c r="F6" s="659">
        <v>63</v>
      </c>
      <c r="G6" s="659">
        <v>11</v>
      </c>
      <c r="H6" s="660">
        <f>B6+E6</f>
        <v>162</v>
      </c>
      <c r="I6" s="658">
        <f>C6+F6</f>
        <v>138</v>
      </c>
      <c r="J6" s="658">
        <f>D6+G6</f>
        <v>24</v>
      </c>
    </row>
    <row r="7" spans="1:13">
      <c r="A7" s="657" t="s">
        <v>1058</v>
      </c>
      <c r="B7" s="658">
        <f t="shared" ref="B7:B14" si="1">C7+D7</f>
        <v>23</v>
      </c>
      <c r="C7" s="658">
        <v>20</v>
      </c>
      <c r="D7" s="658">
        <v>3</v>
      </c>
      <c r="E7" s="659">
        <f t="shared" si="0"/>
        <v>11</v>
      </c>
      <c r="F7" s="659">
        <v>9</v>
      </c>
      <c r="G7" s="659">
        <v>2</v>
      </c>
      <c r="H7" s="660">
        <f t="shared" ref="H7:J14" si="2">B7+E7</f>
        <v>34</v>
      </c>
      <c r="I7" s="658">
        <f t="shared" si="2"/>
        <v>29</v>
      </c>
      <c r="J7" s="658">
        <f t="shared" si="2"/>
        <v>5</v>
      </c>
    </row>
    <row r="8" spans="1:13">
      <c r="A8" s="661" t="s">
        <v>1059</v>
      </c>
      <c r="B8" s="658">
        <f t="shared" si="1"/>
        <v>45</v>
      </c>
      <c r="C8" s="658">
        <v>38</v>
      </c>
      <c r="D8" s="658">
        <v>7</v>
      </c>
      <c r="E8" s="659">
        <f t="shared" si="0"/>
        <v>9</v>
      </c>
      <c r="F8" s="659">
        <v>7</v>
      </c>
      <c r="G8" s="659">
        <v>2</v>
      </c>
      <c r="H8" s="660">
        <f t="shared" si="2"/>
        <v>54</v>
      </c>
      <c r="I8" s="658">
        <f t="shared" si="2"/>
        <v>45</v>
      </c>
      <c r="J8" s="658">
        <f t="shared" si="2"/>
        <v>9</v>
      </c>
    </row>
    <row r="9" spans="1:13">
      <c r="A9" s="662" t="s">
        <v>1060</v>
      </c>
      <c r="B9" s="658">
        <f t="shared" si="1"/>
        <v>176</v>
      </c>
      <c r="C9" s="658">
        <v>150</v>
      </c>
      <c r="D9" s="658">
        <v>26</v>
      </c>
      <c r="E9" s="659">
        <f t="shared" si="0"/>
        <v>116</v>
      </c>
      <c r="F9" s="659">
        <v>99</v>
      </c>
      <c r="G9" s="659">
        <v>17</v>
      </c>
      <c r="H9" s="660">
        <f t="shared" si="2"/>
        <v>292</v>
      </c>
      <c r="I9" s="658">
        <f t="shared" si="2"/>
        <v>249</v>
      </c>
      <c r="J9" s="658">
        <f t="shared" si="2"/>
        <v>43</v>
      </c>
    </row>
    <row r="10" spans="1:13">
      <c r="A10" s="657" t="s">
        <v>1061</v>
      </c>
      <c r="B10" s="658">
        <f t="shared" si="1"/>
        <v>85</v>
      </c>
      <c r="C10" s="658">
        <v>72</v>
      </c>
      <c r="D10" s="658">
        <v>13</v>
      </c>
      <c r="E10" s="659">
        <f t="shared" si="0"/>
        <v>45</v>
      </c>
      <c r="F10" s="659">
        <v>38</v>
      </c>
      <c r="G10" s="659">
        <v>7</v>
      </c>
      <c r="H10" s="660">
        <f t="shared" si="2"/>
        <v>130</v>
      </c>
      <c r="I10" s="658">
        <f t="shared" si="2"/>
        <v>110</v>
      </c>
      <c r="J10" s="658">
        <f t="shared" si="2"/>
        <v>20</v>
      </c>
    </row>
    <row r="11" spans="1:13">
      <c r="A11" s="657" t="s">
        <v>355</v>
      </c>
      <c r="B11" s="658">
        <f t="shared" si="1"/>
        <v>210</v>
      </c>
      <c r="C11" s="658">
        <v>179</v>
      </c>
      <c r="D11" s="658">
        <v>31</v>
      </c>
      <c r="E11" s="659">
        <f t="shared" si="0"/>
        <v>201</v>
      </c>
      <c r="F11" s="659">
        <v>171</v>
      </c>
      <c r="G11" s="659">
        <v>30</v>
      </c>
      <c r="H11" s="660">
        <f t="shared" si="2"/>
        <v>411</v>
      </c>
      <c r="I11" s="658">
        <f t="shared" si="2"/>
        <v>350</v>
      </c>
      <c r="J11" s="658">
        <f t="shared" si="2"/>
        <v>61</v>
      </c>
    </row>
    <row r="12" spans="1:13">
      <c r="A12" s="657" t="s">
        <v>353</v>
      </c>
      <c r="B12" s="658">
        <f t="shared" si="1"/>
        <v>5</v>
      </c>
      <c r="C12" s="658">
        <v>4</v>
      </c>
      <c r="D12" s="658">
        <v>1</v>
      </c>
      <c r="E12" s="659">
        <f>F12+G12</f>
        <v>0</v>
      </c>
      <c r="F12" s="659"/>
      <c r="G12" s="659"/>
      <c r="H12" s="660">
        <f t="shared" si="2"/>
        <v>5</v>
      </c>
      <c r="I12" s="658">
        <f t="shared" si="2"/>
        <v>4</v>
      </c>
      <c r="J12" s="658">
        <f t="shared" si="2"/>
        <v>1</v>
      </c>
    </row>
    <row r="13" spans="1:13">
      <c r="A13" s="663" t="s">
        <v>1062</v>
      </c>
      <c r="B13" s="658">
        <f t="shared" si="1"/>
        <v>4</v>
      </c>
      <c r="C13" s="658">
        <v>3</v>
      </c>
      <c r="D13" s="658">
        <v>1</v>
      </c>
      <c r="E13" s="659">
        <f t="shared" ref="E13:E14" si="3">F13+G13</f>
        <v>5</v>
      </c>
      <c r="F13" s="659">
        <v>4</v>
      </c>
      <c r="G13" s="659">
        <v>1</v>
      </c>
      <c r="H13" s="660">
        <f t="shared" si="2"/>
        <v>9</v>
      </c>
      <c r="I13" s="658">
        <f t="shared" si="2"/>
        <v>7</v>
      </c>
      <c r="J13" s="658">
        <f t="shared" si="2"/>
        <v>2</v>
      </c>
    </row>
    <row r="14" spans="1:13">
      <c r="A14" s="657" t="s">
        <v>402</v>
      </c>
      <c r="B14" s="658">
        <f t="shared" si="1"/>
        <v>1</v>
      </c>
      <c r="C14" s="658">
        <v>1</v>
      </c>
      <c r="D14" s="658"/>
      <c r="E14" s="659">
        <f t="shared" si="3"/>
        <v>0</v>
      </c>
      <c r="F14" s="659"/>
      <c r="G14" s="659"/>
      <c r="H14" s="660"/>
      <c r="I14" s="658">
        <f t="shared" si="2"/>
        <v>1</v>
      </c>
      <c r="J14" s="658">
        <f t="shared" si="2"/>
        <v>0</v>
      </c>
    </row>
    <row r="15" spans="1:13" s="665" customFormat="1">
      <c r="A15" s="662" t="s">
        <v>1063</v>
      </c>
      <c r="B15" s="664">
        <f>C15+D15</f>
        <v>637</v>
      </c>
      <c r="C15" s="664">
        <f t="shared" ref="C15:J15" si="4">SUM(C6:C14)</f>
        <v>542</v>
      </c>
      <c r="D15" s="664">
        <f t="shared" si="4"/>
        <v>95</v>
      </c>
      <c r="E15" s="664">
        <f>SUM(E6:E14)</f>
        <v>461</v>
      </c>
      <c r="F15" s="664">
        <f t="shared" si="4"/>
        <v>391</v>
      </c>
      <c r="G15" s="664">
        <f t="shared" si="4"/>
        <v>70</v>
      </c>
      <c r="H15" s="668">
        <f t="shared" si="4"/>
        <v>1097</v>
      </c>
      <c r="I15" s="664">
        <f t="shared" si="4"/>
        <v>933</v>
      </c>
      <c r="J15" s="664">
        <f t="shared" si="4"/>
        <v>165</v>
      </c>
    </row>
    <row r="16" spans="1:13" s="669" customFormat="1">
      <c r="E16" s="666"/>
      <c r="F16" s="666"/>
      <c r="G16" s="666"/>
    </row>
  </sheetData>
  <mergeCells count="5">
    <mergeCell ref="A4:A5"/>
    <mergeCell ref="B4:D4"/>
    <mergeCell ref="E4:G4"/>
    <mergeCell ref="H4:J4"/>
    <mergeCell ref="A2:J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3" orientation="landscape" r:id="rId1"/>
  <colBreaks count="1" manualBreakCount="1">
    <brk id="11" min="1" max="17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Q101"/>
  <sheetViews>
    <sheetView tabSelected="1" view="pageBreakPreview" zoomScaleNormal="100" zoomScaleSheetLayoutView="100" workbookViewId="0">
      <selection activeCell="AS1" sqref="AS1:AT1"/>
    </sheetView>
  </sheetViews>
  <sheetFormatPr defaultRowHeight="15.75"/>
  <cols>
    <col min="1" max="1" width="47.85546875" style="185" customWidth="1"/>
    <col min="2" max="2" width="16" style="95" hidden="1" customWidth="1"/>
    <col min="3" max="3" width="13.140625" style="95" hidden="1" customWidth="1"/>
    <col min="4" max="19" width="12.85546875" style="95" hidden="1" customWidth="1"/>
    <col min="20" max="20" width="13" style="95" hidden="1" customWidth="1"/>
    <col min="21" max="21" width="17.5703125" style="95" customWidth="1"/>
    <col min="22" max="22" width="13" style="95" customWidth="1"/>
    <col min="23" max="23" width="15.140625" style="95" customWidth="1"/>
    <col min="24" max="24" width="37.28515625" style="95" customWidth="1"/>
    <col min="25" max="25" width="16.28515625" style="95" hidden="1" customWidth="1"/>
    <col min="26" max="27" width="14.5703125" style="95" hidden="1" customWidth="1"/>
    <col min="28" max="29" width="13.85546875" style="95" hidden="1" customWidth="1"/>
    <col min="30" max="30" width="12.7109375" style="95" hidden="1" customWidth="1"/>
    <col min="31" max="42" width="14.5703125" style="95" hidden="1" customWidth="1"/>
    <col min="43" max="43" width="1.42578125" style="95" hidden="1" customWidth="1"/>
    <col min="44" max="46" width="17.42578125" style="95" customWidth="1"/>
    <col min="47" max="47" width="12.85546875" style="95" customWidth="1"/>
    <col min="48" max="48" width="10.140625" style="95" bestFit="1" customWidth="1"/>
    <col min="49" max="258" width="9.140625" style="95"/>
    <col min="259" max="259" width="54.5703125" style="95" customWidth="1"/>
    <col min="260" max="260" width="14" style="95" customWidth="1"/>
    <col min="261" max="277" width="0" style="95" hidden="1" customWidth="1"/>
    <col min="278" max="280" width="13.28515625" style="95" customWidth="1"/>
    <col min="281" max="281" width="49.140625" style="95" customWidth="1"/>
    <col min="282" max="282" width="15" style="95" customWidth="1"/>
    <col min="283" max="299" width="0" style="95" hidden="1" customWidth="1"/>
    <col min="300" max="302" width="12.85546875" style="95" customWidth="1"/>
    <col min="303" max="303" width="9.85546875" style="95" bestFit="1" customWidth="1"/>
    <col min="304" max="304" width="10.140625" style="95" bestFit="1" customWidth="1"/>
    <col min="305" max="514" width="9.140625" style="95"/>
    <col min="515" max="515" width="54.5703125" style="95" customWidth="1"/>
    <col min="516" max="516" width="14" style="95" customWidth="1"/>
    <col min="517" max="533" width="0" style="95" hidden="1" customWidth="1"/>
    <col min="534" max="536" width="13.28515625" style="95" customWidth="1"/>
    <col min="537" max="537" width="49.140625" style="95" customWidth="1"/>
    <col min="538" max="538" width="15" style="95" customWidth="1"/>
    <col min="539" max="555" width="0" style="95" hidden="1" customWidth="1"/>
    <col min="556" max="558" width="12.85546875" style="95" customWidth="1"/>
    <col min="559" max="559" width="9.85546875" style="95" bestFit="1" customWidth="1"/>
    <col min="560" max="560" width="10.140625" style="95" bestFit="1" customWidth="1"/>
    <col min="561" max="770" width="9.140625" style="95"/>
    <col min="771" max="771" width="54.5703125" style="95" customWidth="1"/>
    <col min="772" max="772" width="14" style="95" customWidth="1"/>
    <col min="773" max="789" width="0" style="95" hidden="1" customWidth="1"/>
    <col min="790" max="792" width="13.28515625" style="95" customWidth="1"/>
    <col min="793" max="793" width="49.140625" style="95" customWidth="1"/>
    <col min="794" max="794" width="15" style="95" customWidth="1"/>
    <col min="795" max="811" width="0" style="95" hidden="1" customWidth="1"/>
    <col min="812" max="814" width="12.85546875" style="95" customWidth="1"/>
    <col min="815" max="815" width="9.85546875" style="95" bestFit="1" customWidth="1"/>
    <col min="816" max="816" width="10.140625" style="95" bestFit="1" customWidth="1"/>
    <col min="817" max="1026" width="9.140625" style="95"/>
    <col min="1027" max="1027" width="54.5703125" style="95" customWidth="1"/>
    <col min="1028" max="1028" width="14" style="95" customWidth="1"/>
    <col min="1029" max="1045" width="0" style="95" hidden="1" customWidth="1"/>
    <col min="1046" max="1048" width="13.28515625" style="95" customWidth="1"/>
    <col min="1049" max="1049" width="49.140625" style="95" customWidth="1"/>
    <col min="1050" max="1050" width="15" style="95" customWidth="1"/>
    <col min="1051" max="1067" width="0" style="95" hidden="1" customWidth="1"/>
    <col min="1068" max="1070" width="12.85546875" style="95" customWidth="1"/>
    <col min="1071" max="1071" width="9.85546875" style="95" bestFit="1" customWidth="1"/>
    <col min="1072" max="1072" width="10.140625" style="95" bestFit="1" customWidth="1"/>
    <col min="1073" max="1282" width="9.140625" style="95"/>
    <col min="1283" max="1283" width="54.5703125" style="95" customWidth="1"/>
    <col min="1284" max="1284" width="14" style="95" customWidth="1"/>
    <col min="1285" max="1301" width="0" style="95" hidden="1" customWidth="1"/>
    <col min="1302" max="1304" width="13.28515625" style="95" customWidth="1"/>
    <col min="1305" max="1305" width="49.140625" style="95" customWidth="1"/>
    <col min="1306" max="1306" width="15" style="95" customWidth="1"/>
    <col min="1307" max="1323" width="0" style="95" hidden="1" customWidth="1"/>
    <col min="1324" max="1326" width="12.85546875" style="95" customWidth="1"/>
    <col min="1327" max="1327" width="9.85546875" style="95" bestFit="1" customWidth="1"/>
    <col min="1328" max="1328" width="10.140625" style="95" bestFit="1" customWidth="1"/>
    <col min="1329" max="1538" width="9.140625" style="95"/>
    <col min="1539" max="1539" width="54.5703125" style="95" customWidth="1"/>
    <col min="1540" max="1540" width="14" style="95" customWidth="1"/>
    <col min="1541" max="1557" width="0" style="95" hidden="1" customWidth="1"/>
    <col min="1558" max="1560" width="13.28515625" style="95" customWidth="1"/>
    <col min="1561" max="1561" width="49.140625" style="95" customWidth="1"/>
    <col min="1562" max="1562" width="15" style="95" customWidth="1"/>
    <col min="1563" max="1579" width="0" style="95" hidden="1" customWidth="1"/>
    <col min="1580" max="1582" width="12.85546875" style="95" customWidth="1"/>
    <col min="1583" max="1583" width="9.85546875" style="95" bestFit="1" customWidth="1"/>
    <col min="1584" max="1584" width="10.140625" style="95" bestFit="1" customWidth="1"/>
    <col min="1585" max="1794" width="9.140625" style="95"/>
    <col min="1795" max="1795" width="54.5703125" style="95" customWidth="1"/>
    <col min="1796" max="1796" width="14" style="95" customWidth="1"/>
    <col min="1797" max="1813" width="0" style="95" hidden="1" customWidth="1"/>
    <col min="1814" max="1816" width="13.28515625" style="95" customWidth="1"/>
    <col min="1817" max="1817" width="49.140625" style="95" customWidth="1"/>
    <col min="1818" max="1818" width="15" style="95" customWidth="1"/>
    <col min="1819" max="1835" width="0" style="95" hidden="1" customWidth="1"/>
    <col min="1836" max="1838" width="12.85546875" style="95" customWidth="1"/>
    <col min="1839" max="1839" width="9.85546875" style="95" bestFit="1" customWidth="1"/>
    <col min="1840" max="1840" width="10.140625" style="95" bestFit="1" customWidth="1"/>
    <col min="1841" max="2050" width="9.140625" style="95"/>
    <col min="2051" max="2051" width="54.5703125" style="95" customWidth="1"/>
    <col min="2052" max="2052" width="14" style="95" customWidth="1"/>
    <col min="2053" max="2069" width="0" style="95" hidden="1" customWidth="1"/>
    <col min="2070" max="2072" width="13.28515625" style="95" customWidth="1"/>
    <col min="2073" max="2073" width="49.140625" style="95" customWidth="1"/>
    <col min="2074" max="2074" width="15" style="95" customWidth="1"/>
    <col min="2075" max="2091" width="0" style="95" hidden="1" customWidth="1"/>
    <col min="2092" max="2094" width="12.85546875" style="95" customWidth="1"/>
    <col min="2095" max="2095" width="9.85546875" style="95" bestFit="1" customWidth="1"/>
    <col min="2096" max="2096" width="10.140625" style="95" bestFit="1" customWidth="1"/>
    <col min="2097" max="2306" width="9.140625" style="95"/>
    <col min="2307" max="2307" width="54.5703125" style="95" customWidth="1"/>
    <col min="2308" max="2308" width="14" style="95" customWidth="1"/>
    <col min="2309" max="2325" width="0" style="95" hidden="1" customWidth="1"/>
    <col min="2326" max="2328" width="13.28515625" style="95" customWidth="1"/>
    <col min="2329" max="2329" width="49.140625" style="95" customWidth="1"/>
    <col min="2330" max="2330" width="15" style="95" customWidth="1"/>
    <col min="2331" max="2347" width="0" style="95" hidden="1" customWidth="1"/>
    <col min="2348" max="2350" width="12.85546875" style="95" customWidth="1"/>
    <col min="2351" max="2351" width="9.85546875" style="95" bestFit="1" customWidth="1"/>
    <col min="2352" max="2352" width="10.140625" style="95" bestFit="1" customWidth="1"/>
    <col min="2353" max="2562" width="9.140625" style="95"/>
    <col min="2563" max="2563" width="54.5703125" style="95" customWidth="1"/>
    <col min="2564" max="2564" width="14" style="95" customWidth="1"/>
    <col min="2565" max="2581" width="0" style="95" hidden="1" customWidth="1"/>
    <col min="2582" max="2584" width="13.28515625" style="95" customWidth="1"/>
    <col min="2585" max="2585" width="49.140625" style="95" customWidth="1"/>
    <col min="2586" max="2586" width="15" style="95" customWidth="1"/>
    <col min="2587" max="2603" width="0" style="95" hidden="1" customWidth="1"/>
    <col min="2604" max="2606" width="12.85546875" style="95" customWidth="1"/>
    <col min="2607" max="2607" width="9.85546875" style="95" bestFit="1" customWidth="1"/>
    <col min="2608" max="2608" width="10.140625" style="95" bestFit="1" customWidth="1"/>
    <col min="2609" max="2818" width="9.140625" style="95"/>
    <col min="2819" max="2819" width="54.5703125" style="95" customWidth="1"/>
    <col min="2820" max="2820" width="14" style="95" customWidth="1"/>
    <col min="2821" max="2837" width="0" style="95" hidden="1" customWidth="1"/>
    <col min="2838" max="2840" width="13.28515625" style="95" customWidth="1"/>
    <col min="2841" max="2841" width="49.140625" style="95" customWidth="1"/>
    <col min="2842" max="2842" width="15" style="95" customWidth="1"/>
    <col min="2843" max="2859" width="0" style="95" hidden="1" customWidth="1"/>
    <col min="2860" max="2862" width="12.85546875" style="95" customWidth="1"/>
    <col min="2863" max="2863" width="9.85546875" style="95" bestFit="1" customWidth="1"/>
    <col min="2864" max="2864" width="10.140625" style="95" bestFit="1" customWidth="1"/>
    <col min="2865" max="3074" width="9.140625" style="95"/>
    <col min="3075" max="3075" width="54.5703125" style="95" customWidth="1"/>
    <col min="3076" max="3076" width="14" style="95" customWidth="1"/>
    <col min="3077" max="3093" width="0" style="95" hidden="1" customWidth="1"/>
    <col min="3094" max="3096" width="13.28515625" style="95" customWidth="1"/>
    <col min="3097" max="3097" width="49.140625" style="95" customWidth="1"/>
    <col min="3098" max="3098" width="15" style="95" customWidth="1"/>
    <col min="3099" max="3115" width="0" style="95" hidden="1" customWidth="1"/>
    <col min="3116" max="3118" width="12.85546875" style="95" customWidth="1"/>
    <col min="3119" max="3119" width="9.85546875" style="95" bestFit="1" customWidth="1"/>
    <col min="3120" max="3120" width="10.140625" style="95" bestFit="1" customWidth="1"/>
    <col min="3121" max="3330" width="9.140625" style="95"/>
    <col min="3331" max="3331" width="54.5703125" style="95" customWidth="1"/>
    <col min="3332" max="3332" width="14" style="95" customWidth="1"/>
    <col min="3333" max="3349" width="0" style="95" hidden="1" customWidth="1"/>
    <col min="3350" max="3352" width="13.28515625" style="95" customWidth="1"/>
    <col min="3353" max="3353" width="49.140625" style="95" customWidth="1"/>
    <col min="3354" max="3354" width="15" style="95" customWidth="1"/>
    <col min="3355" max="3371" width="0" style="95" hidden="1" customWidth="1"/>
    <col min="3372" max="3374" width="12.85546875" style="95" customWidth="1"/>
    <col min="3375" max="3375" width="9.85546875" style="95" bestFit="1" customWidth="1"/>
    <col min="3376" max="3376" width="10.140625" style="95" bestFit="1" customWidth="1"/>
    <col min="3377" max="3586" width="9.140625" style="95"/>
    <col min="3587" max="3587" width="54.5703125" style="95" customWidth="1"/>
    <col min="3588" max="3588" width="14" style="95" customWidth="1"/>
    <col min="3589" max="3605" width="0" style="95" hidden="1" customWidth="1"/>
    <col min="3606" max="3608" width="13.28515625" style="95" customWidth="1"/>
    <col min="3609" max="3609" width="49.140625" style="95" customWidth="1"/>
    <col min="3610" max="3610" width="15" style="95" customWidth="1"/>
    <col min="3611" max="3627" width="0" style="95" hidden="1" customWidth="1"/>
    <col min="3628" max="3630" width="12.85546875" style="95" customWidth="1"/>
    <col min="3631" max="3631" width="9.85546875" style="95" bestFit="1" customWidth="1"/>
    <col min="3632" max="3632" width="10.140625" style="95" bestFit="1" customWidth="1"/>
    <col min="3633" max="3842" width="9.140625" style="95"/>
    <col min="3843" max="3843" width="54.5703125" style="95" customWidth="1"/>
    <col min="3844" max="3844" width="14" style="95" customWidth="1"/>
    <col min="3845" max="3861" width="0" style="95" hidden="1" customWidth="1"/>
    <col min="3862" max="3864" width="13.28515625" style="95" customWidth="1"/>
    <col min="3865" max="3865" width="49.140625" style="95" customWidth="1"/>
    <col min="3866" max="3866" width="15" style="95" customWidth="1"/>
    <col min="3867" max="3883" width="0" style="95" hidden="1" customWidth="1"/>
    <col min="3884" max="3886" width="12.85546875" style="95" customWidth="1"/>
    <col min="3887" max="3887" width="9.85546875" style="95" bestFit="1" customWidth="1"/>
    <col min="3888" max="3888" width="10.140625" style="95" bestFit="1" customWidth="1"/>
    <col min="3889" max="4098" width="9.140625" style="95"/>
    <col min="4099" max="4099" width="54.5703125" style="95" customWidth="1"/>
    <col min="4100" max="4100" width="14" style="95" customWidth="1"/>
    <col min="4101" max="4117" width="0" style="95" hidden="1" customWidth="1"/>
    <col min="4118" max="4120" width="13.28515625" style="95" customWidth="1"/>
    <col min="4121" max="4121" width="49.140625" style="95" customWidth="1"/>
    <col min="4122" max="4122" width="15" style="95" customWidth="1"/>
    <col min="4123" max="4139" width="0" style="95" hidden="1" customWidth="1"/>
    <col min="4140" max="4142" width="12.85546875" style="95" customWidth="1"/>
    <col min="4143" max="4143" width="9.85546875" style="95" bestFit="1" customWidth="1"/>
    <col min="4144" max="4144" width="10.140625" style="95" bestFit="1" customWidth="1"/>
    <col min="4145" max="4354" width="9.140625" style="95"/>
    <col min="4355" max="4355" width="54.5703125" style="95" customWidth="1"/>
    <col min="4356" max="4356" width="14" style="95" customWidth="1"/>
    <col min="4357" max="4373" width="0" style="95" hidden="1" customWidth="1"/>
    <col min="4374" max="4376" width="13.28515625" style="95" customWidth="1"/>
    <col min="4377" max="4377" width="49.140625" style="95" customWidth="1"/>
    <col min="4378" max="4378" width="15" style="95" customWidth="1"/>
    <col min="4379" max="4395" width="0" style="95" hidden="1" customWidth="1"/>
    <col min="4396" max="4398" width="12.85546875" style="95" customWidth="1"/>
    <col min="4399" max="4399" width="9.85546875" style="95" bestFit="1" customWidth="1"/>
    <col min="4400" max="4400" width="10.140625" style="95" bestFit="1" customWidth="1"/>
    <col min="4401" max="4610" width="9.140625" style="95"/>
    <col min="4611" max="4611" width="54.5703125" style="95" customWidth="1"/>
    <col min="4612" max="4612" width="14" style="95" customWidth="1"/>
    <col min="4613" max="4629" width="0" style="95" hidden="1" customWidth="1"/>
    <col min="4630" max="4632" width="13.28515625" style="95" customWidth="1"/>
    <col min="4633" max="4633" width="49.140625" style="95" customWidth="1"/>
    <col min="4634" max="4634" width="15" style="95" customWidth="1"/>
    <col min="4635" max="4651" width="0" style="95" hidden="1" customWidth="1"/>
    <col min="4652" max="4654" width="12.85546875" style="95" customWidth="1"/>
    <col min="4655" max="4655" width="9.85546875" style="95" bestFit="1" customWidth="1"/>
    <col min="4656" max="4656" width="10.140625" style="95" bestFit="1" customWidth="1"/>
    <col min="4657" max="4866" width="9.140625" style="95"/>
    <col min="4867" max="4867" width="54.5703125" style="95" customWidth="1"/>
    <col min="4868" max="4868" width="14" style="95" customWidth="1"/>
    <col min="4869" max="4885" width="0" style="95" hidden="1" customWidth="1"/>
    <col min="4886" max="4888" width="13.28515625" style="95" customWidth="1"/>
    <col min="4889" max="4889" width="49.140625" style="95" customWidth="1"/>
    <col min="4890" max="4890" width="15" style="95" customWidth="1"/>
    <col min="4891" max="4907" width="0" style="95" hidden="1" customWidth="1"/>
    <col min="4908" max="4910" width="12.85546875" style="95" customWidth="1"/>
    <col min="4911" max="4911" width="9.85546875" style="95" bestFit="1" customWidth="1"/>
    <col min="4912" max="4912" width="10.140625" style="95" bestFit="1" customWidth="1"/>
    <col min="4913" max="5122" width="9.140625" style="95"/>
    <col min="5123" max="5123" width="54.5703125" style="95" customWidth="1"/>
    <col min="5124" max="5124" width="14" style="95" customWidth="1"/>
    <col min="5125" max="5141" width="0" style="95" hidden="1" customWidth="1"/>
    <col min="5142" max="5144" width="13.28515625" style="95" customWidth="1"/>
    <col min="5145" max="5145" width="49.140625" style="95" customWidth="1"/>
    <col min="5146" max="5146" width="15" style="95" customWidth="1"/>
    <col min="5147" max="5163" width="0" style="95" hidden="1" customWidth="1"/>
    <col min="5164" max="5166" width="12.85546875" style="95" customWidth="1"/>
    <col min="5167" max="5167" width="9.85546875" style="95" bestFit="1" customWidth="1"/>
    <col min="5168" max="5168" width="10.140625" style="95" bestFit="1" customWidth="1"/>
    <col min="5169" max="5378" width="9.140625" style="95"/>
    <col min="5379" max="5379" width="54.5703125" style="95" customWidth="1"/>
    <col min="5380" max="5380" width="14" style="95" customWidth="1"/>
    <col min="5381" max="5397" width="0" style="95" hidden="1" customWidth="1"/>
    <col min="5398" max="5400" width="13.28515625" style="95" customWidth="1"/>
    <col min="5401" max="5401" width="49.140625" style="95" customWidth="1"/>
    <col min="5402" max="5402" width="15" style="95" customWidth="1"/>
    <col min="5403" max="5419" width="0" style="95" hidden="1" customWidth="1"/>
    <col min="5420" max="5422" width="12.85546875" style="95" customWidth="1"/>
    <col min="5423" max="5423" width="9.85546875" style="95" bestFit="1" customWidth="1"/>
    <col min="5424" max="5424" width="10.140625" style="95" bestFit="1" customWidth="1"/>
    <col min="5425" max="5634" width="9.140625" style="95"/>
    <col min="5635" max="5635" width="54.5703125" style="95" customWidth="1"/>
    <col min="5636" max="5636" width="14" style="95" customWidth="1"/>
    <col min="5637" max="5653" width="0" style="95" hidden="1" customWidth="1"/>
    <col min="5654" max="5656" width="13.28515625" style="95" customWidth="1"/>
    <col min="5657" max="5657" width="49.140625" style="95" customWidth="1"/>
    <col min="5658" max="5658" width="15" style="95" customWidth="1"/>
    <col min="5659" max="5675" width="0" style="95" hidden="1" customWidth="1"/>
    <col min="5676" max="5678" width="12.85546875" style="95" customWidth="1"/>
    <col min="5679" max="5679" width="9.85546875" style="95" bestFit="1" customWidth="1"/>
    <col min="5680" max="5680" width="10.140625" style="95" bestFit="1" customWidth="1"/>
    <col min="5681" max="5890" width="9.140625" style="95"/>
    <col min="5891" max="5891" width="54.5703125" style="95" customWidth="1"/>
    <col min="5892" max="5892" width="14" style="95" customWidth="1"/>
    <col min="5893" max="5909" width="0" style="95" hidden="1" customWidth="1"/>
    <col min="5910" max="5912" width="13.28515625" style="95" customWidth="1"/>
    <col min="5913" max="5913" width="49.140625" style="95" customWidth="1"/>
    <col min="5914" max="5914" width="15" style="95" customWidth="1"/>
    <col min="5915" max="5931" width="0" style="95" hidden="1" customWidth="1"/>
    <col min="5932" max="5934" width="12.85546875" style="95" customWidth="1"/>
    <col min="5935" max="5935" width="9.85546875" style="95" bestFit="1" customWidth="1"/>
    <col min="5936" max="5936" width="10.140625" style="95" bestFit="1" customWidth="1"/>
    <col min="5937" max="6146" width="9.140625" style="95"/>
    <col min="6147" max="6147" width="54.5703125" style="95" customWidth="1"/>
    <col min="6148" max="6148" width="14" style="95" customWidth="1"/>
    <col min="6149" max="6165" width="0" style="95" hidden="1" customWidth="1"/>
    <col min="6166" max="6168" width="13.28515625" style="95" customWidth="1"/>
    <col min="6169" max="6169" width="49.140625" style="95" customWidth="1"/>
    <col min="6170" max="6170" width="15" style="95" customWidth="1"/>
    <col min="6171" max="6187" width="0" style="95" hidden="1" customWidth="1"/>
    <col min="6188" max="6190" width="12.85546875" style="95" customWidth="1"/>
    <col min="6191" max="6191" width="9.85546875" style="95" bestFit="1" customWidth="1"/>
    <col min="6192" max="6192" width="10.140625" style="95" bestFit="1" customWidth="1"/>
    <col min="6193" max="6402" width="9.140625" style="95"/>
    <col min="6403" max="6403" width="54.5703125" style="95" customWidth="1"/>
    <col min="6404" max="6404" width="14" style="95" customWidth="1"/>
    <col min="6405" max="6421" width="0" style="95" hidden="1" customWidth="1"/>
    <col min="6422" max="6424" width="13.28515625" style="95" customWidth="1"/>
    <col min="6425" max="6425" width="49.140625" style="95" customWidth="1"/>
    <col min="6426" max="6426" width="15" style="95" customWidth="1"/>
    <col min="6427" max="6443" width="0" style="95" hidden="1" customWidth="1"/>
    <col min="6444" max="6446" width="12.85546875" style="95" customWidth="1"/>
    <col min="6447" max="6447" width="9.85546875" style="95" bestFit="1" customWidth="1"/>
    <col min="6448" max="6448" width="10.140625" style="95" bestFit="1" customWidth="1"/>
    <col min="6449" max="6658" width="9.140625" style="95"/>
    <col min="6659" max="6659" width="54.5703125" style="95" customWidth="1"/>
    <col min="6660" max="6660" width="14" style="95" customWidth="1"/>
    <col min="6661" max="6677" width="0" style="95" hidden="1" customWidth="1"/>
    <col min="6678" max="6680" width="13.28515625" style="95" customWidth="1"/>
    <col min="6681" max="6681" width="49.140625" style="95" customWidth="1"/>
    <col min="6682" max="6682" width="15" style="95" customWidth="1"/>
    <col min="6683" max="6699" width="0" style="95" hidden="1" customWidth="1"/>
    <col min="6700" max="6702" width="12.85546875" style="95" customWidth="1"/>
    <col min="6703" max="6703" width="9.85546875" style="95" bestFit="1" customWidth="1"/>
    <col min="6704" max="6704" width="10.140625" style="95" bestFit="1" customWidth="1"/>
    <col min="6705" max="6914" width="9.140625" style="95"/>
    <col min="6915" max="6915" width="54.5703125" style="95" customWidth="1"/>
    <col min="6916" max="6916" width="14" style="95" customWidth="1"/>
    <col min="6917" max="6933" width="0" style="95" hidden="1" customWidth="1"/>
    <col min="6934" max="6936" width="13.28515625" style="95" customWidth="1"/>
    <col min="6937" max="6937" width="49.140625" style="95" customWidth="1"/>
    <col min="6938" max="6938" width="15" style="95" customWidth="1"/>
    <col min="6939" max="6955" width="0" style="95" hidden="1" customWidth="1"/>
    <col min="6956" max="6958" width="12.85546875" style="95" customWidth="1"/>
    <col min="6959" max="6959" width="9.85546875" style="95" bestFit="1" customWidth="1"/>
    <col min="6960" max="6960" width="10.140625" style="95" bestFit="1" customWidth="1"/>
    <col min="6961" max="7170" width="9.140625" style="95"/>
    <col min="7171" max="7171" width="54.5703125" style="95" customWidth="1"/>
    <col min="7172" max="7172" width="14" style="95" customWidth="1"/>
    <col min="7173" max="7189" width="0" style="95" hidden="1" customWidth="1"/>
    <col min="7190" max="7192" width="13.28515625" style="95" customWidth="1"/>
    <col min="7193" max="7193" width="49.140625" style="95" customWidth="1"/>
    <col min="7194" max="7194" width="15" style="95" customWidth="1"/>
    <col min="7195" max="7211" width="0" style="95" hidden="1" customWidth="1"/>
    <col min="7212" max="7214" width="12.85546875" style="95" customWidth="1"/>
    <col min="7215" max="7215" width="9.85546875" style="95" bestFit="1" customWidth="1"/>
    <col min="7216" max="7216" width="10.140625" style="95" bestFit="1" customWidth="1"/>
    <col min="7217" max="7426" width="9.140625" style="95"/>
    <col min="7427" max="7427" width="54.5703125" style="95" customWidth="1"/>
    <col min="7428" max="7428" width="14" style="95" customWidth="1"/>
    <col min="7429" max="7445" width="0" style="95" hidden="1" customWidth="1"/>
    <col min="7446" max="7448" width="13.28515625" style="95" customWidth="1"/>
    <col min="7449" max="7449" width="49.140625" style="95" customWidth="1"/>
    <col min="7450" max="7450" width="15" style="95" customWidth="1"/>
    <col min="7451" max="7467" width="0" style="95" hidden="1" customWidth="1"/>
    <col min="7468" max="7470" width="12.85546875" style="95" customWidth="1"/>
    <col min="7471" max="7471" width="9.85546875" style="95" bestFit="1" customWidth="1"/>
    <col min="7472" max="7472" width="10.140625" style="95" bestFit="1" customWidth="1"/>
    <col min="7473" max="7682" width="9.140625" style="95"/>
    <col min="7683" max="7683" width="54.5703125" style="95" customWidth="1"/>
    <col min="7684" max="7684" width="14" style="95" customWidth="1"/>
    <col min="7685" max="7701" width="0" style="95" hidden="1" customWidth="1"/>
    <col min="7702" max="7704" width="13.28515625" style="95" customWidth="1"/>
    <col min="7705" max="7705" width="49.140625" style="95" customWidth="1"/>
    <col min="7706" max="7706" width="15" style="95" customWidth="1"/>
    <col min="7707" max="7723" width="0" style="95" hidden="1" customWidth="1"/>
    <col min="7724" max="7726" width="12.85546875" style="95" customWidth="1"/>
    <col min="7727" max="7727" width="9.85546875" style="95" bestFit="1" customWidth="1"/>
    <col min="7728" max="7728" width="10.140625" style="95" bestFit="1" customWidth="1"/>
    <col min="7729" max="7938" width="9.140625" style="95"/>
    <col min="7939" max="7939" width="54.5703125" style="95" customWidth="1"/>
    <col min="7940" max="7940" width="14" style="95" customWidth="1"/>
    <col min="7941" max="7957" width="0" style="95" hidden="1" customWidth="1"/>
    <col min="7958" max="7960" width="13.28515625" style="95" customWidth="1"/>
    <col min="7961" max="7961" width="49.140625" style="95" customWidth="1"/>
    <col min="7962" max="7962" width="15" style="95" customWidth="1"/>
    <col min="7963" max="7979" width="0" style="95" hidden="1" customWidth="1"/>
    <col min="7980" max="7982" width="12.85546875" style="95" customWidth="1"/>
    <col min="7983" max="7983" width="9.85546875" style="95" bestFit="1" customWidth="1"/>
    <col min="7984" max="7984" width="10.140625" style="95" bestFit="1" customWidth="1"/>
    <col min="7985" max="8194" width="9.140625" style="95"/>
    <col min="8195" max="8195" width="54.5703125" style="95" customWidth="1"/>
    <col min="8196" max="8196" width="14" style="95" customWidth="1"/>
    <col min="8197" max="8213" width="0" style="95" hidden="1" customWidth="1"/>
    <col min="8214" max="8216" width="13.28515625" style="95" customWidth="1"/>
    <col min="8217" max="8217" width="49.140625" style="95" customWidth="1"/>
    <col min="8218" max="8218" width="15" style="95" customWidth="1"/>
    <col min="8219" max="8235" width="0" style="95" hidden="1" customWidth="1"/>
    <col min="8236" max="8238" width="12.85546875" style="95" customWidth="1"/>
    <col min="8239" max="8239" width="9.85546875" style="95" bestFit="1" customWidth="1"/>
    <col min="8240" max="8240" width="10.140625" style="95" bestFit="1" customWidth="1"/>
    <col min="8241" max="8450" width="9.140625" style="95"/>
    <col min="8451" max="8451" width="54.5703125" style="95" customWidth="1"/>
    <col min="8452" max="8452" width="14" style="95" customWidth="1"/>
    <col min="8453" max="8469" width="0" style="95" hidden="1" customWidth="1"/>
    <col min="8470" max="8472" width="13.28515625" style="95" customWidth="1"/>
    <col min="8473" max="8473" width="49.140625" style="95" customWidth="1"/>
    <col min="8474" max="8474" width="15" style="95" customWidth="1"/>
    <col min="8475" max="8491" width="0" style="95" hidden="1" customWidth="1"/>
    <col min="8492" max="8494" width="12.85546875" style="95" customWidth="1"/>
    <col min="8495" max="8495" width="9.85546875" style="95" bestFit="1" customWidth="1"/>
    <col min="8496" max="8496" width="10.140625" style="95" bestFit="1" customWidth="1"/>
    <col min="8497" max="8706" width="9.140625" style="95"/>
    <col min="8707" max="8707" width="54.5703125" style="95" customWidth="1"/>
    <col min="8708" max="8708" width="14" style="95" customWidth="1"/>
    <col min="8709" max="8725" width="0" style="95" hidden="1" customWidth="1"/>
    <col min="8726" max="8728" width="13.28515625" style="95" customWidth="1"/>
    <col min="8729" max="8729" width="49.140625" style="95" customWidth="1"/>
    <col min="8730" max="8730" width="15" style="95" customWidth="1"/>
    <col min="8731" max="8747" width="0" style="95" hidden="1" customWidth="1"/>
    <col min="8748" max="8750" width="12.85546875" style="95" customWidth="1"/>
    <col min="8751" max="8751" width="9.85546875" style="95" bestFit="1" customWidth="1"/>
    <col min="8752" max="8752" width="10.140625" style="95" bestFit="1" customWidth="1"/>
    <col min="8753" max="8962" width="9.140625" style="95"/>
    <col min="8963" max="8963" width="54.5703125" style="95" customWidth="1"/>
    <col min="8964" max="8964" width="14" style="95" customWidth="1"/>
    <col min="8965" max="8981" width="0" style="95" hidden="1" customWidth="1"/>
    <col min="8982" max="8984" width="13.28515625" style="95" customWidth="1"/>
    <col min="8985" max="8985" width="49.140625" style="95" customWidth="1"/>
    <col min="8986" max="8986" width="15" style="95" customWidth="1"/>
    <col min="8987" max="9003" width="0" style="95" hidden="1" customWidth="1"/>
    <col min="9004" max="9006" width="12.85546875" style="95" customWidth="1"/>
    <col min="9007" max="9007" width="9.85546875" style="95" bestFit="1" customWidth="1"/>
    <col min="9008" max="9008" width="10.140625" style="95" bestFit="1" customWidth="1"/>
    <col min="9009" max="9218" width="9.140625" style="95"/>
    <col min="9219" max="9219" width="54.5703125" style="95" customWidth="1"/>
    <col min="9220" max="9220" width="14" style="95" customWidth="1"/>
    <col min="9221" max="9237" width="0" style="95" hidden="1" customWidth="1"/>
    <col min="9238" max="9240" width="13.28515625" style="95" customWidth="1"/>
    <col min="9241" max="9241" width="49.140625" style="95" customWidth="1"/>
    <col min="9242" max="9242" width="15" style="95" customWidth="1"/>
    <col min="9243" max="9259" width="0" style="95" hidden="1" customWidth="1"/>
    <col min="9260" max="9262" width="12.85546875" style="95" customWidth="1"/>
    <col min="9263" max="9263" width="9.85546875" style="95" bestFit="1" customWidth="1"/>
    <col min="9264" max="9264" width="10.140625" style="95" bestFit="1" customWidth="1"/>
    <col min="9265" max="9474" width="9.140625" style="95"/>
    <col min="9475" max="9475" width="54.5703125" style="95" customWidth="1"/>
    <col min="9476" max="9476" width="14" style="95" customWidth="1"/>
    <col min="9477" max="9493" width="0" style="95" hidden="1" customWidth="1"/>
    <col min="9494" max="9496" width="13.28515625" style="95" customWidth="1"/>
    <col min="9497" max="9497" width="49.140625" style="95" customWidth="1"/>
    <col min="9498" max="9498" width="15" style="95" customWidth="1"/>
    <col min="9499" max="9515" width="0" style="95" hidden="1" customWidth="1"/>
    <col min="9516" max="9518" width="12.85546875" style="95" customWidth="1"/>
    <col min="9519" max="9519" width="9.85546875" style="95" bestFit="1" customWidth="1"/>
    <col min="9520" max="9520" width="10.140625" style="95" bestFit="1" customWidth="1"/>
    <col min="9521" max="9730" width="9.140625" style="95"/>
    <col min="9731" max="9731" width="54.5703125" style="95" customWidth="1"/>
    <col min="9732" max="9732" width="14" style="95" customWidth="1"/>
    <col min="9733" max="9749" width="0" style="95" hidden="1" customWidth="1"/>
    <col min="9750" max="9752" width="13.28515625" style="95" customWidth="1"/>
    <col min="9753" max="9753" width="49.140625" style="95" customWidth="1"/>
    <col min="9754" max="9754" width="15" style="95" customWidth="1"/>
    <col min="9755" max="9771" width="0" style="95" hidden="1" customWidth="1"/>
    <col min="9772" max="9774" width="12.85546875" style="95" customWidth="1"/>
    <col min="9775" max="9775" width="9.85546875" style="95" bestFit="1" customWidth="1"/>
    <col min="9776" max="9776" width="10.140625" style="95" bestFit="1" customWidth="1"/>
    <col min="9777" max="9986" width="9.140625" style="95"/>
    <col min="9987" max="9987" width="54.5703125" style="95" customWidth="1"/>
    <col min="9988" max="9988" width="14" style="95" customWidth="1"/>
    <col min="9989" max="10005" width="0" style="95" hidden="1" customWidth="1"/>
    <col min="10006" max="10008" width="13.28515625" style="95" customWidth="1"/>
    <col min="10009" max="10009" width="49.140625" style="95" customWidth="1"/>
    <col min="10010" max="10010" width="15" style="95" customWidth="1"/>
    <col min="10011" max="10027" width="0" style="95" hidden="1" customWidth="1"/>
    <col min="10028" max="10030" width="12.85546875" style="95" customWidth="1"/>
    <col min="10031" max="10031" width="9.85546875" style="95" bestFit="1" customWidth="1"/>
    <col min="10032" max="10032" width="10.140625" style="95" bestFit="1" customWidth="1"/>
    <col min="10033" max="10242" width="9.140625" style="95"/>
    <col min="10243" max="10243" width="54.5703125" style="95" customWidth="1"/>
    <col min="10244" max="10244" width="14" style="95" customWidth="1"/>
    <col min="10245" max="10261" width="0" style="95" hidden="1" customWidth="1"/>
    <col min="10262" max="10264" width="13.28515625" style="95" customWidth="1"/>
    <col min="10265" max="10265" width="49.140625" style="95" customWidth="1"/>
    <col min="10266" max="10266" width="15" style="95" customWidth="1"/>
    <col min="10267" max="10283" width="0" style="95" hidden="1" customWidth="1"/>
    <col min="10284" max="10286" width="12.85546875" style="95" customWidth="1"/>
    <col min="10287" max="10287" width="9.85546875" style="95" bestFit="1" customWidth="1"/>
    <col min="10288" max="10288" width="10.140625" style="95" bestFit="1" customWidth="1"/>
    <col min="10289" max="10498" width="9.140625" style="95"/>
    <col min="10499" max="10499" width="54.5703125" style="95" customWidth="1"/>
    <col min="10500" max="10500" width="14" style="95" customWidth="1"/>
    <col min="10501" max="10517" width="0" style="95" hidden="1" customWidth="1"/>
    <col min="10518" max="10520" width="13.28515625" style="95" customWidth="1"/>
    <col min="10521" max="10521" width="49.140625" style="95" customWidth="1"/>
    <col min="10522" max="10522" width="15" style="95" customWidth="1"/>
    <col min="10523" max="10539" width="0" style="95" hidden="1" customWidth="1"/>
    <col min="10540" max="10542" width="12.85546875" style="95" customWidth="1"/>
    <col min="10543" max="10543" width="9.85546875" style="95" bestFit="1" customWidth="1"/>
    <col min="10544" max="10544" width="10.140625" style="95" bestFit="1" customWidth="1"/>
    <col min="10545" max="10754" width="9.140625" style="95"/>
    <col min="10755" max="10755" width="54.5703125" style="95" customWidth="1"/>
    <col min="10756" max="10756" width="14" style="95" customWidth="1"/>
    <col min="10757" max="10773" width="0" style="95" hidden="1" customWidth="1"/>
    <col min="10774" max="10776" width="13.28515625" style="95" customWidth="1"/>
    <col min="10777" max="10777" width="49.140625" style="95" customWidth="1"/>
    <col min="10778" max="10778" width="15" style="95" customWidth="1"/>
    <col min="10779" max="10795" width="0" style="95" hidden="1" customWidth="1"/>
    <col min="10796" max="10798" width="12.85546875" style="95" customWidth="1"/>
    <col min="10799" max="10799" width="9.85546875" style="95" bestFit="1" customWidth="1"/>
    <col min="10800" max="10800" width="10.140625" style="95" bestFit="1" customWidth="1"/>
    <col min="10801" max="11010" width="9.140625" style="95"/>
    <col min="11011" max="11011" width="54.5703125" style="95" customWidth="1"/>
    <col min="11012" max="11012" width="14" style="95" customWidth="1"/>
    <col min="11013" max="11029" width="0" style="95" hidden="1" customWidth="1"/>
    <col min="11030" max="11032" width="13.28515625" style="95" customWidth="1"/>
    <col min="11033" max="11033" width="49.140625" style="95" customWidth="1"/>
    <col min="11034" max="11034" width="15" style="95" customWidth="1"/>
    <col min="11035" max="11051" width="0" style="95" hidden="1" customWidth="1"/>
    <col min="11052" max="11054" width="12.85546875" style="95" customWidth="1"/>
    <col min="11055" max="11055" width="9.85546875" style="95" bestFit="1" customWidth="1"/>
    <col min="11056" max="11056" width="10.140625" style="95" bestFit="1" customWidth="1"/>
    <col min="11057" max="11266" width="9.140625" style="95"/>
    <col min="11267" max="11267" width="54.5703125" style="95" customWidth="1"/>
    <col min="11268" max="11268" width="14" style="95" customWidth="1"/>
    <col min="11269" max="11285" width="0" style="95" hidden="1" customWidth="1"/>
    <col min="11286" max="11288" width="13.28515625" style="95" customWidth="1"/>
    <col min="11289" max="11289" width="49.140625" style="95" customWidth="1"/>
    <col min="11290" max="11290" width="15" style="95" customWidth="1"/>
    <col min="11291" max="11307" width="0" style="95" hidden="1" customWidth="1"/>
    <col min="11308" max="11310" width="12.85546875" style="95" customWidth="1"/>
    <col min="11311" max="11311" width="9.85546875" style="95" bestFit="1" customWidth="1"/>
    <col min="11312" max="11312" width="10.140625" style="95" bestFit="1" customWidth="1"/>
    <col min="11313" max="11522" width="9.140625" style="95"/>
    <col min="11523" max="11523" width="54.5703125" style="95" customWidth="1"/>
    <col min="11524" max="11524" width="14" style="95" customWidth="1"/>
    <col min="11525" max="11541" width="0" style="95" hidden="1" customWidth="1"/>
    <col min="11542" max="11544" width="13.28515625" style="95" customWidth="1"/>
    <col min="11545" max="11545" width="49.140625" style="95" customWidth="1"/>
    <col min="11546" max="11546" width="15" style="95" customWidth="1"/>
    <col min="11547" max="11563" width="0" style="95" hidden="1" customWidth="1"/>
    <col min="11564" max="11566" width="12.85546875" style="95" customWidth="1"/>
    <col min="11567" max="11567" width="9.85546875" style="95" bestFit="1" customWidth="1"/>
    <col min="11568" max="11568" width="10.140625" style="95" bestFit="1" customWidth="1"/>
    <col min="11569" max="11778" width="9.140625" style="95"/>
    <col min="11779" max="11779" width="54.5703125" style="95" customWidth="1"/>
    <col min="11780" max="11780" width="14" style="95" customWidth="1"/>
    <col min="11781" max="11797" width="0" style="95" hidden="1" customWidth="1"/>
    <col min="11798" max="11800" width="13.28515625" style="95" customWidth="1"/>
    <col min="11801" max="11801" width="49.140625" style="95" customWidth="1"/>
    <col min="11802" max="11802" width="15" style="95" customWidth="1"/>
    <col min="11803" max="11819" width="0" style="95" hidden="1" customWidth="1"/>
    <col min="11820" max="11822" width="12.85546875" style="95" customWidth="1"/>
    <col min="11823" max="11823" width="9.85546875" style="95" bestFit="1" customWidth="1"/>
    <col min="11824" max="11824" width="10.140625" style="95" bestFit="1" customWidth="1"/>
    <col min="11825" max="12034" width="9.140625" style="95"/>
    <col min="12035" max="12035" width="54.5703125" style="95" customWidth="1"/>
    <col min="12036" max="12036" width="14" style="95" customWidth="1"/>
    <col min="12037" max="12053" width="0" style="95" hidden="1" customWidth="1"/>
    <col min="12054" max="12056" width="13.28515625" style="95" customWidth="1"/>
    <col min="12057" max="12057" width="49.140625" style="95" customWidth="1"/>
    <col min="12058" max="12058" width="15" style="95" customWidth="1"/>
    <col min="12059" max="12075" width="0" style="95" hidden="1" customWidth="1"/>
    <col min="12076" max="12078" width="12.85546875" style="95" customWidth="1"/>
    <col min="12079" max="12079" width="9.85546875" style="95" bestFit="1" customWidth="1"/>
    <col min="12080" max="12080" width="10.140625" style="95" bestFit="1" customWidth="1"/>
    <col min="12081" max="12290" width="9.140625" style="95"/>
    <col min="12291" max="12291" width="54.5703125" style="95" customWidth="1"/>
    <col min="12292" max="12292" width="14" style="95" customWidth="1"/>
    <col min="12293" max="12309" width="0" style="95" hidden="1" customWidth="1"/>
    <col min="12310" max="12312" width="13.28515625" style="95" customWidth="1"/>
    <col min="12313" max="12313" width="49.140625" style="95" customWidth="1"/>
    <col min="12314" max="12314" width="15" style="95" customWidth="1"/>
    <col min="12315" max="12331" width="0" style="95" hidden="1" customWidth="1"/>
    <col min="12332" max="12334" width="12.85546875" style="95" customWidth="1"/>
    <col min="12335" max="12335" width="9.85546875" style="95" bestFit="1" customWidth="1"/>
    <col min="12336" max="12336" width="10.140625" style="95" bestFit="1" customWidth="1"/>
    <col min="12337" max="12546" width="9.140625" style="95"/>
    <col min="12547" max="12547" width="54.5703125" style="95" customWidth="1"/>
    <col min="12548" max="12548" width="14" style="95" customWidth="1"/>
    <col min="12549" max="12565" width="0" style="95" hidden="1" customWidth="1"/>
    <col min="12566" max="12568" width="13.28515625" style="95" customWidth="1"/>
    <col min="12569" max="12569" width="49.140625" style="95" customWidth="1"/>
    <col min="12570" max="12570" width="15" style="95" customWidth="1"/>
    <col min="12571" max="12587" width="0" style="95" hidden="1" customWidth="1"/>
    <col min="12588" max="12590" width="12.85546875" style="95" customWidth="1"/>
    <col min="12591" max="12591" width="9.85546875" style="95" bestFit="1" customWidth="1"/>
    <col min="12592" max="12592" width="10.140625" style="95" bestFit="1" customWidth="1"/>
    <col min="12593" max="12802" width="9.140625" style="95"/>
    <col min="12803" max="12803" width="54.5703125" style="95" customWidth="1"/>
    <col min="12804" max="12804" width="14" style="95" customWidth="1"/>
    <col min="12805" max="12821" width="0" style="95" hidden="1" customWidth="1"/>
    <col min="12822" max="12824" width="13.28515625" style="95" customWidth="1"/>
    <col min="12825" max="12825" width="49.140625" style="95" customWidth="1"/>
    <col min="12826" max="12826" width="15" style="95" customWidth="1"/>
    <col min="12827" max="12843" width="0" style="95" hidden="1" customWidth="1"/>
    <col min="12844" max="12846" width="12.85546875" style="95" customWidth="1"/>
    <col min="12847" max="12847" width="9.85546875" style="95" bestFit="1" customWidth="1"/>
    <col min="12848" max="12848" width="10.140625" style="95" bestFit="1" customWidth="1"/>
    <col min="12849" max="13058" width="9.140625" style="95"/>
    <col min="13059" max="13059" width="54.5703125" style="95" customWidth="1"/>
    <col min="13060" max="13060" width="14" style="95" customWidth="1"/>
    <col min="13061" max="13077" width="0" style="95" hidden="1" customWidth="1"/>
    <col min="13078" max="13080" width="13.28515625" style="95" customWidth="1"/>
    <col min="13081" max="13081" width="49.140625" style="95" customWidth="1"/>
    <col min="13082" max="13082" width="15" style="95" customWidth="1"/>
    <col min="13083" max="13099" width="0" style="95" hidden="1" customWidth="1"/>
    <col min="13100" max="13102" width="12.85546875" style="95" customWidth="1"/>
    <col min="13103" max="13103" width="9.85546875" style="95" bestFit="1" customWidth="1"/>
    <col min="13104" max="13104" width="10.140625" style="95" bestFit="1" customWidth="1"/>
    <col min="13105" max="13314" width="9.140625" style="95"/>
    <col min="13315" max="13315" width="54.5703125" style="95" customWidth="1"/>
    <col min="13316" max="13316" width="14" style="95" customWidth="1"/>
    <col min="13317" max="13333" width="0" style="95" hidden="1" customWidth="1"/>
    <col min="13334" max="13336" width="13.28515625" style="95" customWidth="1"/>
    <col min="13337" max="13337" width="49.140625" style="95" customWidth="1"/>
    <col min="13338" max="13338" width="15" style="95" customWidth="1"/>
    <col min="13339" max="13355" width="0" style="95" hidden="1" customWidth="1"/>
    <col min="13356" max="13358" width="12.85546875" style="95" customWidth="1"/>
    <col min="13359" max="13359" width="9.85546875" style="95" bestFit="1" customWidth="1"/>
    <col min="13360" max="13360" width="10.140625" style="95" bestFit="1" customWidth="1"/>
    <col min="13361" max="13570" width="9.140625" style="95"/>
    <col min="13571" max="13571" width="54.5703125" style="95" customWidth="1"/>
    <col min="13572" max="13572" width="14" style="95" customWidth="1"/>
    <col min="13573" max="13589" width="0" style="95" hidden="1" customWidth="1"/>
    <col min="13590" max="13592" width="13.28515625" style="95" customWidth="1"/>
    <col min="13593" max="13593" width="49.140625" style="95" customWidth="1"/>
    <col min="13594" max="13594" width="15" style="95" customWidth="1"/>
    <col min="13595" max="13611" width="0" style="95" hidden="1" customWidth="1"/>
    <col min="13612" max="13614" width="12.85546875" style="95" customWidth="1"/>
    <col min="13615" max="13615" width="9.85546875" style="95" bestFit="1" customWidth="1"/>
    <col min="13616" max="13616" width="10.140625" style="95" bestFit="1" customWidth="1"/>
    <col min="13617" max="13826" width="9.140625" style="95"/>
    <col min="13827" max="13827" width="54.5703125" style="95" customWidth="1"/>
    <col min="13828" max="13828" width="14" style="95" customWidth="1"/>
    <col min="13829" max="13845" width="0" style="95" hidden="1" customWidth="1"/>
    <col min="13846" max="13848" width="13.28515625" style="95" customWidth="1"/>
    <col min="13849" max="13849" width="49.140625" style="95" customWidth="1"/>
    <col min="13850" max="13850" width="15" style="95" customWidth="1"/>
    <col min="13851" max="13867" width="0" style="95" hidden="1" customWidth="1"/>
    <col min="13868" max="13870" width="12.85546875" style="95" customWidth="1"/>
    <col min="13871" max="13871" width="9.85546875" style="95" bestFit="1" customWidth="1"/>
    <col min="13872" max="13872" width="10.140625" style="95" bestFit="1" customWidth="1"/>
    <col min="13873" max="14082" width="9.140625" style="95"/>
    <col min="14083" max="14083" width="54.5703125" style="95" customWidth="1"/>
    <col min="14084" max="14084" width="14" style="95" customWidth="1"/>
    <col min="14085" max="14101" width="0" style="95" hidden="1" customWidth="1"/>
    <col min="14102" max="14104" width="13.28515625" style="95" customWidth="1"/>
    <col min="14105" max="14105" width="49.140625" style="95" customWidth="1"/>
    <col min="14106" max="14106" width="15" style="95" customWidth="1"/>
    <col min="14107" max="14123" width="0" style="95" hidden="1" customWidth="1"/>
    <col min="14124" max="14126" width="12.85546875" style="95" customWidth="1"/>
    <col min="14127" max="14127" width="9.85546875" style="95" bestFit="1" customWidth="1"/>
    <col min="14128" max="14128" width="10.140625" style="95" bestFit="1" customWidth="1"/>
    <col min="14129" max="14338" width="9.140625" style="95"/>
    <col min="14339" max="14339" width="54.5703125" style="95" customWidth="1"/>
    <col min="14340" max="14340" width="14" style="95" customWidth="1"/>
    <col min="14341" max="14357" width="0" style="95" hidden="1" customWidth="1"/>
    <col min="14358" max="14360" width="13.28515625" style="95" customWidth="1"/>
    <col min="14361" max="14361" width="49.140625" style="95" customWidth="1"/>
    <col min="14362" max="14362" width="15" style="95" customWidth="1"/>
    <col min="14363" max="14379" width="0" style="95" hidden="1" customWidth="1"/>
    <col min="14380" max="14382" width="12.85546875" style="95" customWidth="1"/>
    <col min="14383" max="14383" width="9.85546875" style="95" bestFit="1" customWidth="1"/>
    <col min="14384" max="14384" width="10.140625" style="95" bestFit="1" customWidth="1"/>
    <col min="14385" max="14594" width="9.140625" style="95"/>
    <col min="14595" max="14595" width="54.5703125" style="95" customWidth="1"/>
    <col min="14596" max="14596" width="14" style="95" customWidth="1"/>
    <col min="14597" max="14613" width="0" style="95" hidden="1" customWidth="1"/>
    <col min="14614" max="14616" width="13.28515625" style="95" customWidth="1"/>
    <col min="14617" max="14617" width="49.140625" style="95" customWidth="1"/>
    <col min="14618" max="14618" width="15" style="95" customWidth="1"/>
    <col min="14619" max="14635" width="0" style="95" hidden="1" customWidth="1"/>
    <col min="14636" max="14638" width="12.85546875" style="95" customWidth="1"/>
    <col min="14639" max="14639" width="9.85546875" style="95" bestFit="1" customWidth="1"/>
    <col min="14640" max="14640" width="10.140625" style="95" bestFit="1" customWidth="1"/>
    <col min="14641" max="14850" width="9.140625" style="95"/>
    <col min="14851" max="14851" width="54.5703125" style="95" customWidth="1"/>
    <col min="14852" max="14852" width="14" style="95" customWidth="1"/>
    <col min="14853" max="14869" width="0" style="95" hidden="1" customWidth="1"/>
    <col min="14870" max="14872" width="13.28515625" style="95" customWidth="1"/>
    <col min="14873" max="14873" width="49.140625" style="95" customWidth="1"/>
    <col min="14874" max="14874" width="15" style="95" customWidth="1"/>
    <col min="14875" max="14891" width="0" style="95" hidden="1" customWidth="1"/>
    <col min="14892" max="14894" width="12.85546875" style="95" customWidth="1"/>
    <col min="14895" max="14895" width="9.85546875" style="95" bestFit="1" customWidth="1"/>
    <col min="14896" max="14896" width="10.140625" style="95" bestFit="1" customWidth="1"/>
    <col min="14897" max="15106" width="9.140625" style="95"/>
    <col min="15107" max="15107" width="54.5703125" style="95" customWidth="1"/>
    <col min="15108" max="15108" width="14" style="95" customWidth="1"/>
    <col min="15109" max="15125" width="0" style="95" hidden="1" customWidth="1"/>
    <col min="15126" max="15128" width="13.28515625" style="95" customWidth="1"/>
    <col min="15129" max="15129" width="49.140625" style="95" customWidth="1"/>
    <col min="15130" max="15130" width="15" style="95" customWidth="1"/>
    <col min="15131" max="15147" width="0" style="95" hidden="1" customWidth="1"/>
    <col min="15148" max="15150" width="12.85546875" style="95" customWidth="1"/>
    <col min="15151" max="15151" width="9.85546875" style="95" bestFit="1" customWidth="1"/>
    <col min="15152" max="15152" width="10.140625" style="95" bestFit="1" customWidth="1"/>
    <col min="15153" max="15362" width="9.140625" style="95"/>
    <col min="15363" max="15363" width="54.5703125" style="95" customWidth="1"/>
    <col min="15364" max="15364" width="14" style="95" customWidth="1"/>
    <col min="15365" max="15381" width="0" style="95" hidden="1" customWidth="1"/>
    <col min="15382" max="15384" width="13.28515625" style="95" customWidth="1"/>
    <col min="15385" max="15385" width="49.140625" style="95" customWidth="1"/>
    <col min="15386" max="15386" width="15" style="95" customWidth="1"/>
    <col min="15387" max="15403" width="0" style="95" hidden="1" customWidth="1"/>
    <col min="15404" max="15406" width="12.85546875" style="95" customWidth="1"/>
    <col min="15407" max="15407" width="9.85546875" style="95" bestFit="1" customWidth="1"/>
    <col min="15408" max="15408" width="10.140625" style="95" bestFit="1" customWidth="1"/>
    <col min="15409" max="15618" width="9.140625" style="95"/>
    <col min="15619" max="15619" width="54.5703125" style="95" customWidth="1"/>
    <col min="15620" max="15620" width="14" style="95" customWidth="1"/>
    <col min="15621" max="15637" width="0" style="95" hidden="1" customWidth="1"/>
    <col min="15638" max="15640" width="13.28515625" style="95" customWidth="1"/>
    <col min="15641" max="15641" width="49.140625" style="95" customWidth="1"/>
    <col min="15642" max="15642" width="15" style="95" customWidth="1"/>
    <col min="15643" max="15659" width="0" style="95" hidden="1" customWidth="1"/>
    <col min="15660" max="15662" width="12.85546875" style="95" customWidth="1"/>
    <col min="15663" max="15663" width="9.85546875" style="95" bestFit="1" customWidth="1"/>
    <col min="15664" max="15664" width="10.140625" style="95" bestFit="1" customWidth="1"/>
    <col min="15665" max="15874" width="9.140625" style="95"/>
    <col min="15875" max="15875" width="54.5703125" style="95" customWidth="1"/>
    <col min="15876" max="15876" width="14" style="95" customWidth="1"/>
    <col min="15877" max="15893" width="0" style="95" hidden="1" customWidth="1"/>
    <col min="15894" max="15896" width="13.28515625" style="95" customWidth="1"/>
    <col min="15897" max="15897" width="49.140625" style="95" customWidth="1"/>
    <col min="15898" max="15898" width="15" style="95" customWidth="1"/>
    <col min="15899" max="15915" width="0" style="95" hidden="1" customWidth="1"/>
    <col min="15916" max="15918" width="12.85546875" style="95" customWidth="1"/>
    <col min="15919" max="15919" width="9.85546875" style="95" bestFit="1" customWidth="1"/>
    <col min="15920" max="15920" width="10.140625" style="95" bestFit="1" customWidth="1"/>
    <col min="15921" max="16130" width="9.140625" style="95"/>
    <col min="16131" max="16131" width="54.5703125" style="95" customWidth="1"/>
    <col min="16132" max="16132" width="14" style="95" customWidth="1"/>
    <col min="16133" max="16149" width="0" style="95" hidden="1" customWidth="1"/>
    <col min="16150" max="16152" width="13.28515625" style="95" customWidth="1"/>
    <col min="16153" max="16153" width="49.140625" style="95" customWidth="1"/>
    <col min="16154" max="16154" width="15" style="95" customWidth="1"/>
    <col min="16155" max="16171" width="0" style="95" hidden="1" customWidth="1"/>
    <col min="16172" max="16174" width="12.85546875" style="95" customWidth="1"/>
    <col min="16175" max="16175" width="9.85546875" style="95" bestFit="1" customWidth="1"/>
    <col min="16176" max="16176" width="10.140625" style="95" bestFit="1" customWidth="1"/>
    <col min="16177" max="16384" width="9.140625" style="95"/>
  </cols>
  <sheetData>
    <row r="1" spans="1:69">
      <c r="A1" s="197" t="s">
        <v>228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AS1" s="587" t="s">
        <v>1012</v>
      </c>
      <c r="AT1" s="615"/>
      <c r="AU1" s="517"/>
      <c r="AV1" s="517"/>
      <c r="AW1" s="94"/>
      <c r="AX1" s="94"/>
      <c r="AY1" s="94"/>
      <c r="AZ1" s="94"/>
      <c r="BA1" s="94"/>
      <c r="BB1" s="94"/>
      <c r="BC1" s="94"/>
      <c r="BD1" s="94"/>
      <c r="BE1" s="94"/>
      <c r="BF1" s="94"/>
      <c r="BG1" s="94"/>
      <c r="BH1" s="94"/>
      <c r="BI1" s="94"/>
      <c r="BJ1" s="94"/>
      <c r="BK1" s="94"/>
      <c r="BL1" s="96"/>
      <c r="BM1" s="96"/>
      <c r="BN1" s="96"/>
      <c r="BO1" s="96"/>
      <c r="BP1" s="97" t="s">
        <v>288</v>
      </c>
      <c r="BQ1" s="97"/>
    </row>
    <row r="2" spans="1:69" ht="16.5" customHeight="1">
      <c r="A2" s="683" t="s">
        <v>679</v>
      </c>
      <c r="B2" s="683"/>
      <c r="C2" s="683"/>
      <c r="D2" s="683"/>
      <c r="E2" s="683"/>
      <c r="F2" s="683"/>
      <c r="G2" s="683"/>
      <c r="H2" s="683"/>
      <c r="I2" s="683"/>
      <c r="J2" s="683"/>
      <c r="K2" s="683"/>
      <c r="L2" s="683"/>
      <c r="M2" s="683"/>
      <c r="N2" s="683"/>
      <c r="O2" s="683"/>
      <c r="P2" s="683"/>
      <c r="Q2" s="683"/>
      <c r="R2" s="683"/>
      <c r="S2" s="683"/>
      <c r="T2" s="683"/>
      <c r="U2" s="683"/>
      <c r="V2" s="683"/>
      <c r="W2" s="683"/>
      <c r="X2" s="683"/>
      <c r="Y2" s="683"/>
      <c r="Z2" s="683"/>
      <c r="AA2" s="683"/>
      <c r="AB2" s="683"/>
      <c r="AC2" s="683"/>
      <c r="AD2" s="683"/>
      <c r="AE2" s="683"/>
      <c r="AF2" s="683"/>
      <c r="AG2" s="683"/>
      <c r="AH2" s="683"/>
      <c r="AI2" s="683"/>
      <c r="AJ2" s="683"/>
      <c r="AK2" s="683"/>
      <c r="AL2" s="683"/>
      <c r="AM2" s="683"/>
      <c r="AN2" s="683"/>
      <c r="AO2" s="683"/>
      <c r="AP2" s="683"/>
      <c r="AQ2" s="683"/>
      <c r="AR2" s="683"/>
      <c r="AS2" s="683"/>
      <c r="AT2" s="683"/>
      <c r="AU2" s="221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/>
      <c r="BL2" s="97"/>
      <c r="BM2" s="97"/>
      <c r="BN2" s="97"/>
      <c r="BO2" s="97"/>
      <c r="BP2" s="97"/>
      <c r="BQ2" s="97"/>
    </row>
    <row r="3" spans="1:69">
      <c r="Z3" s="98"/>
      <c r="AB3" s="98"/>
      <c r="AD3" s="98"/>
      <c r="AF3" s="98"/>
      <c r="AH3" s="98"/>
      <c r="AJ3" s="98"/>
      <c r="AL3" s="98"/>
      <c r="AN3" s="98"/>
      <c r="AP3" s="98"/>
      <c r="AS3" s="98"/>
      <c r="AT3" s="98" t="s">
        <v>119</v>
      </c>
      <c r="AU3" s="98"/>
    </row>
    <row r="4" spans="1:69" s="99" customFormat="1">
      <c r="A4" s="186" t="s">
        <v>2</v>
      </c>
      <c r="B4" s="372" t="s">
        <v>284</v>
      </c>
      <c r="C4" s="372" t="s">
        <v>556</v>
      </c>
      <c r="D4" s="372" t="s">
        <v>557</v>
      </c>
      <c r="E4" s="377" t="s">
        <v>556</v>
      </c>
      <c r="F4" s="377" t="s">
        <v>557</v>
      </c>
      <c r="G4" s="394" t="s">
        <v>556</v>
      </c>
      <c r="H4" s="394" t="s">
        <v>557</v>
      </c>
      <c r="I4" s="407" t="s">
        <v>556</v>
      </c>
      <c r="J4" s="407" t="s">
        <v>557</v>
      </c>
      <c r="K4" s="409" t="s">
        <v>556</v>
      </c>
      <c r="L4" s="409" t="s">
        <v>557</v>
      </c>
      <c r="M4" s="423" t="s">
        <v>556</v>
      </c>
      <c r="N4" s="423" t="s">
        <v>557</v>
      </c>
      <c r="O4" s="428" t="s">
        <v>556</v>
      </c>
      <c r="P4" s="428" t="s">
        <v>557</v>
      </c>
      <c r="Q4" s="432" t="s">
        <v>556</v>
      </c>
      <c r="R4" s="432" t="s">
        <v>557</v>
      </c>
      <c r="S4" s="433" t="s">
        <v>556</v>
      </c>
      <c r="T4" s="433" t="s">
        <v>644</v>
      </c>
      <c r="U4" s="510" t="s">
        <v>801</v>
      </c>
      <c r="V4" s="613" t="s">
        <v>556</v>
      </c>
      <c r="W4" s="613" t="s">
        <v>557</v>
      </c>
      <c r="X4" s="371" t="s">
        <v>3</v>
      </c>
      <c r="Y4" s="372" t="s">
        <v>284</v>
      </c>
      <c r="Z4" s="372" t="s">
        <v>556</v>
      </c>
      <c r="AA4" s="372" t="s">
        <v>557</v>
      </c>
      <c r="AB4" s="377" t="s">
        <v>556</v>
      </c>
      <c r="AC4" s="377" t="s">
        <v>557</v>
      </c>
      <c r="AD4" s="394" t="s">
        <v>556</v>
      </c>
      <c r="AE4" s="394" t="s">
        <v>557</v>
      </c>
      <c r="AF4" s="407" t="s">
        <v>556</v>
      </c>
      <c r="AG4" s="407" t="s">
        <v>557</v>
      </c>
      <c r="AH4" s="409" t="s">
        <v>556</v>
      </c>
      <c r="AI4" s="409" t="s">
        <v>557</v>
      </c>
      <c r="AJ4" s="423" t="s">
        <v>556</v>
      </c>
      <c r="AK4" s="423" t="s">
        <v>557</v>
      </c>
      <c r="AL4" s="428" t="s">
        <v>556</v>
      </c>
      <c r="AM4" s="428" t="s">
        <v>557</v>
      </c>
      <c r="AN4" s="432" t="s">
        <v>556</v>
      </c>
      <c r="AP4" s="433" t="s">
        <v>556</v>
      </c>
      <c r="AQ4" s="440" t="s">
        <v>644</v>
      </c>
      <c r="AR4" s="510" t="s">
        <v>801</v>
      </c>
      <c r="AS4" s="613" t="s">
        <v>556</v>
      </c>
      <c r="AT4" s="613" t="s">
        <v>557</v>
      </c>
      <c r="AU4" s="218"/>
    </row>
    <row r="5" spans="1:69" s="99" customFormat="1" ht="15" customHeight="1">
      <c r="A5" s="187" t="s">
        <v>4</v>
      </c>
      <c r="B5" s="275" t="s">
        <v>5</v>
      </c>
      <c r="C5" s="275" t="s">
        <v>6</v>
      </c>
      <c r="D5" s="275" t="s">
        <v>7</v>
      </c>
      <c r="E5" s="275" t="s">
        <v>6</v>
      </c>
      <c r="F5" s="275" t="s">
        <v>7</v>
      </c>
      <c r="G5" s="275" t="s">
        <v>6</v>
      </c>
      <c r="H5" s="275" t="s">
        <v>7</v>
      </c>
      <c r="I5" s="275" t="s">
        <v>6</v>
      </c>
      <c r="J5" s="275" t="s">
        <v>7</v>
      </c>
      <c r="K5" s="275" t="s">
        <v>6</v>
      </c>
      <c r="L5" s="275" t="s">
        <v>7</v>
      </c>
      <c r="M5" s="275" t="s">
        <v>6</v>
      </c>
      <c r="N5" s="275" t="s">
        <v>7</v>
      </c>
      <c r="O5" s="275" t="s">
        <v>6</v>
      </c>
      <c r="P5" s="275" t="s">
        <v>605</v>
      </c>
      <c r="Q5" s="275" t="s">
        <v>6</v>
      </c>
      <c r="R5" s="275" t="s">
        <v>7</v>
      </c>
      <c r="S5" s="275" t="s">
        <v>6</v>
      </c>
      <c r="T5" s="275" t="s">
        <v>645</v>
      </c>
      <c r="U5" s="438" t="s">
        <v>5</v>
      </c>
      <c r="V5" s="614" t="s">
        <v>6</v>
      </c>
      <c r="W5" s="614" t="s">
        <v>7</v>
      </c>
      <c r="X5" s="100" t="s">
        <v>4</v>
      </c>
      <c r="Y5" s="220" t="s">
        <v>5</v>
      </c>
      <c r="Z5" s="275" t="s">
        <v>6</v>
      </c>
      <c r="AA5" s="275" t="s">
        <v>7</v>
      </c>
      <c r="AB5" s="275" t="s">
        <v>6</v>
      </c>
      <c r="AC5" s="275" t="s">
        <v>7</v>
      </c>
      <c r="AD5" s="275" t="s">
        <v>6</v>
      </c>
      <c r="AE5" s="275" t="s">
        <v>7</v>
      </c>
      <c r="AF5" s="275" t="s">
        <v>6</v>
      </c>
      <c r="AG5" s="275" t="s">
        <v>7</v>
      </c>
      <c r="AH5" s="275" t="s">
        <v>6</v>
      </c>
      <c r="AI5" s="275" t="s">
        <v>7</v>
      </c>
      <c r="AJ5" s="275" t="s">
        <v>6</v>
      </c>
      <c r="AK5" s="275" t="s">
        <v>7</v>
      </c>
      <c r="AL5" s="275" t="s">
        <v>6</v>
      </c>
      <c r="AM5" s="275" t="s">
        <v>605</v>
      </c>
      <c r="AN5" s="275" t="s">
        <v>6</v>
      </c>
      <c r="AP5" s="275" t="s">
        <v>6</v>
      </c>
      <c r="AQ5" s="438" t="s">
        <v>645</v>
      </c>
      <c r="AR5" s="520" t="s">
        <v>5</v>
      </c>
      <c r="AS5" s="614" t="s">
        <v>6</v>
      </c>
      <c r="AT5" s="614" t="s">
        <v>7</v>
      </c>
      <c r="AU5" s="218"/>
    </row>
    <row r="6" spans="1:69" s="106" customFormat="1" ht="31.5">
      <c r="A6" s="40" t="s">
        <v>9</v>
      </c>
      <c r="B6" s="41">
        <f>'intézményi.részl.  '!P239</f>
        <v>1967876</v>
      </c>
      <c r="C6" s="41">
        <f>'intézményi.részl.  '!Q239</f>
        <v>24622</v>
      </c>
      <c r="D6" s="41">
        <f>'intézményi.részl.  '!R239</f>
        <v>1992498</v>
      </c>
      <c r="E6" s="41">
        <f>'intézményi.részl.  '!S239</f>
        <v>38480</v>
      </c>
      <c r="F6" s="41">
        <f>'intézményi.részl.  '!T239</f>
        <v>2030978</v>
      </c>
      <c r="G6" s="41">
        <f>'intézményi.részl.  '!U239</f>
        <v>18615</v>
      </c>
      <c r="H6" s="41">
        <f>'intézményi.részl.  '!V239</f>
        <v>2049593</v>
      </c>
      <c r="I6" s="41">
        <f>'intézményi.részl.  '!W239</f>
        <v>224760</v>
      </c>
      <c r="J6" s="41">
        <f>'intézményi.részl.  '!X239</f>
        <v>2274353</v>
      </c>
      <c r="K6" s="41">
        <f>'intézményi.részl.  '!Y239</f>
        <v>25408</v>
      </c>
      <c r="L6" s="41">
        <f>'intézményi.részl.  '!Z239</f>
        <v>2299761</v>
      </c>
      <c r="M6" s="41">
        <f>'intézményi.részl.  '!AA239</f>
        <v>19903</v>
      </c>
      <c r="N6" s="41">
        <f>'intézményi.részl.  '!AB239</f>
        <v>2319664</v>
      </c>
      <c r="O6" s="41">
        <f>'intézményi.részl.  '!AC239</f>
        <v>21597</v>
      </c>
      <c r="P6" s="41">
        <f>'intézményi.részl.  '!AD239</f>
        <v>2341261</v>
      </c>
      <c r="Q6" s="41">
        <f>'intézményi.részl.  '!AE239</f>
        <v>17102</v>
      </c>
      <c r="R6" s="41">
        <f>'intézményi.részl.  '!AF239</f>
        <v>2358363</v>
      </c>
      <c r="S6" s="41">
        <f>'intézményi.részl.  '!AG239</f>
        <v>8055</v>
      </c>
      <c r="T6" s="41">
        <f>'intézményi.részl.  '!AH239</f>
        <v>2366418</v>
      </c>
      <c r="U6" s="41">
        <f>'intézményi.részl.  '!AI239</f>
        <v>2116986</v>
      </c>
      <c r="V6" s="41">
        <f>'intézményi.részl.  '!AJ239</f>
        <v>76977</v>
      </c>
      <c r="W6" s="41">
        <f>'intézményi.részl.  '!AK239</f>
        <v>2193963</v>
      </c>
      <c r="X6" s="194" t="s">
        <v>10</v>
      </c>
      <c r="Y6" s="41">
        <f>'intézményi.részl.  '!AM239</f>
        <v>2123129</v>
      </c>
      <c r="Z6" s="41" t="e">
        <f>'intézményi.részl.  '!AN239</f>
        <v>#REF!</v>
      </c>
      <c r="AA6" s="41" t="e">
        <f>'intézményi.részl.  '!AO239</f>
        <v>#REF!</v>
      </c>
      <c r="AB6" s="41" t="e">
        <f>'intézményi.részl.  '!AP239</f>
        <v>#REF!</v>
      </c>
      <c r="AC6" s="41" t="e">
        <f>'intézményi.részl.  '!AQ239</f>
        <v>#REF!</v>
      </c>
      <c r="AD6" s="41">
        <f>'intézményi.részl.  '!AR239</f>
        <v>13062</v>
      </c>
      <c r="AE6" s="41" t="e">
        <f>'intézményi.részl.  '!AS239</f>
        <v>#REF!</v>
      </c>
      <c r="AF6" s="41">
        <f>'intézményi.részl.  '!AT239</f>
        <v>7455</v>
      </c>
      <c r="AG6" s="41">
        <f>'intézményi.részl.  '!AU239</f>
        <v>2204622</v>
      </c>
      <c r="AH6" s="41">
        <f>'intézményi.részl.  '!AV239</f>
        <v>14216</v>
      </c>
      <c r="AI6" s="41">
        <f>'intézményi.részl.  '!AW239</f>
        <v>2227153</v>
      </c>
      <c r="AJ6" s="41">
        <f>'intézményi.részl.  '!AX239</f>
        <v>10266</v>
      </c>
      <c r="AK6" s="41">
        <v>2230957</v>
      </c>
      <c r="AL6" s="41">
        <f>'intézményi.részl.  '!AZ239</f>
        <v>11832</v>
      </c>
      <c r="AM6" s="41">
        <v>2248831</v>
      </c>
      <c r="AN6" s="41">
        <f>'intézményi.részl.  '!BB239</f>
        <v>3381</v>
      </c>
      <c r="AO6" s="41">
        <f>'intézményi.részl.  '!BC239</f>
        <v>2251477</v>
      </c>
      <c r="AP6" s="41">
        <f>'intézményi.részl.  '!BD239</f>
        <v>7219</v>
      </c>
      <c r="AQ6" s="41">
        <f>'intézményi.részl.  '!BE239</f>
        <v>2258696</v>
      </c>
      <c r="AR6" s="41">
        <f>'intézményi.részl.  '!BF239</f>
        <v>2212552</v>
      </c>
      <c r="AS6" s="41">
        <f>'intézményi.részl.  '!BG239</f>
        <v>24474</v>
      </c>
      <c r="AT6" s="41">
        <f>'intézményi.részl.  '!BH239</f>
        <v>2237026</v>
      </c>
      <c r="AU6" s="219"/>
    </row>
    <row r="7" spans="1:69" s="106" customFormat="1">
      <c r="A7" s="32" t="s">
        <v>36</v>
      </c>
      <c r="B7" s="41">
        <f>'intézményi.részl.  '!P240</f>
        <v>1657096</v>
      </c>
      <c r="C7" s="41">
        <f>'intézményi.részl.  '!Q240</f>
        <v>0</v>
      </c>
      <c r="D7" s="41">
        <f>'intézményi.részl.  '!R240</f>
        <v>1657096</v>
      </c>
      <c r="E7" s="41">
        <f>'intézményi.részl.  '!S240</f>
        <v>0</v>
      </c>
      <c r="F7" s="41">
        <f>'intézményi.részl.  '!T240</f>
        <v>1657096</v>
      </c>
      <c r="G7" s="41">
        <f>'intézményi.részl.  '!U240</f>
        <v>0</v>
      </c>
      <c r="H7" s="41">
        <f>'intézményi.részl.  '!V240</f>
        <v>1657096</v>
      </c>
      <c r="I7" s="41">
        <f>'intézményi.részl.  '!W240</f>
        <v>140000</v>
      </c>
      <c r="J7" s="41">
        <f>'intézményi.részl.  '!X240</f>
        <v>1797096</v>
      </c>
      <c r="K7" s="41">
        <f>'intézményi.részl.  '!Y240</f>
        <v>116887</v>
      </c>
      <c r="L7" s="41">
        <f>'intézményi.részl.  '!Z240</f>
        <v>1913983</v>
      </c>
      <c r="M7" s="41">
        <f>'intézményi.részl.  '!AA240</f>
        <v>0</v>
      </c>
      <c r="N7" s="41">
        <f>'intézményi.részl.  '!AB240</f>
        <v>1913983</v>
      </c>
      <c r="O7" s="41">
        <f>'intézményi.részl.  '!AC240</f>
        <v>369000</v>
      </c>
      <c r="P7" s="41">
        <f>'intézményi.részl.  '!AD240</f>
        <v>2282983</v>
      </c>
      <c r="Q7" s="41">
        <f>'intézményi.részl.  '!AE240</f>
        <v>192</v>
      </c>
      <c r="R7" s="41">
        <f>'intézményi.részl.  '!AF240</f>
        <v>2283175</v>
      </c>
      <c r="S7" s="41">
        <f>'intézményi.részl.  '!AG240</f>
        <v>0</v>
      </c>
      <c r="T7" s="41">
        <f>'intézményi.részl.  '!AH240</f>
        <v>2283175</v>
      </c>
      <c r="U7" s="41">
        <f>'intézményi.részl.  '!AI240</f>
        <v>712209</v>
      </c>
      <c r="V7" s="41">
        <f>'intézményi.részl.  '!AJ240</f>
        <v>511</v>
      </c>
      <c r="W7" s="41">
        <f>'intézményi.részl.  '!AK240</f>
        <v>712720</v>
      </c>
      <c r="X7" s="32" t="s">
        <v>12</v>
      </c>
      <c r="Y7" s="41">
        <f>'intézményi.részl.  '!AM240</f>
        <v>407970</v>
      </c>
      <c r="Z7" s="41" t="e">
        <f>'intézményi.részl.  '!AN240</f>
        <v>#REF!</v>
      </c>
      <c r="AA7" s="41" t="e">
        <f>'intézményi.részl.  '!AO240</f>
        <v>#REF!</v>
      </c>
      <c r="AB7" s="41">
        <f>'intézményi.részl.  '!AP240</f>
        <v>7007</v>
      </c>
      <c r="AC7" s="41" t="e">
        <f>'intézményi.részl.  '!AQ240</f>
        <v>#REF!</v>
      </c>
      <c r="AD7" s="41">
        <f>'intézményi.részl.  '!AR240</f>
        <v>2521</v>
      </c>
      <c r="AE7" s="41" t="e">
        <f>'intézményi.részl.  '!AS240</f>
        <v>#REF!</v>
      </c>
      <c r="AF7" s="41">
        <f>'intézményi.részl.  '!AT240</f>
        <v>42112</v>
      </c>
      <c r="AG7" s="41">
        <f>'intézményi.részl.  '!AU240</f>
        <v>424948</v>
      </c>
      <c r="AH7" s="41">
        <f>'intézményi.részl.  '!AV240</f>
        <v>43290</v>
      </c>
      <c r="AI7" s="41" t="e">
        <f>'intézményi.részl.  '!AW240</f>
        <v>#REF!</v>
      </c>
      <c r="AJ7" s="41">
        <f>'intézményi.részl.  '!AX240</f>
        <v>42035</v>
      </c>
      <c r="AK7" s="41">
        <f>'intézményi.részl.  '!AY240</f>
        <v>429177</v>
      </c>
      <c r="AL7" s="41">
        <f>'intézményi.részl.  '!AZ240</f>
        <v>43037</v>
      </c>
      <c r="AM7" s="41">
        <v>432391</v>
      </c>
      <c r="AN7" s="41">
        <f>'intézményi.részl.  '!BB240</f>
        <v>39742</v>
      </c>
      <c r="AO7" s="41">
        <f>'intézményi.részl.  '!BC240</f>
        <v>472133</v>
      </c>
      <c r="AP7" s="41">
        <f>'intézményi.részl.  '!BD240</f>
        <v>41743</v>
      </c>
      <c r="AQ7" s="41">
        <f>'intézményi.részl.  '!BE240</f>
        <v>432370</v>
      </c>
      <c r="AR7" s="41">
        <f>'intézményi.részl.  '!BF240</f>
        <v>389049</v>
      </c>
      <c r="AS7" s="41">
        <f>'intézményi.részl.  '!BG240</f>
        <v>4285</v>
      </c>
      <c r="AT7" s="41">
        <f>'intézményi.részl.  '!BH240</f>
        <v>393334</v>
      </c>
      <c r="AU7" s="219"/>
    </row>
    <row r="8" spans="1:69" s="99" customFormat="1">
      <c r="A8" s="103" t="s">
        <v>45</v>
      </c>
      <c r="B8" s="102">
        <f>'intézményi.részl.  '!P241</f>
        <v>2050415</v>
      </c>
      <c r="C8" s="102">
        <f>'intézményi.részl.  '!Q241</f>
        <v>0</v>
      </c>
      <c r="D8" s="102">
        <f>'intézményi.részl.  '!R241</f>
        <v>2050415</v>
      </c>
      <c r="E8" s="102">
        <f>'intézményi.részl.  '!S241</f>
        <v>0</v>
      </c>
      <c r="F8" s="102">
        <f>'intézményi.részl.  '!T241</f>
        <v>2050415</v>
      </c>
      <c r="G8" s="102">
        <f>'intézményi.részl.  '!U241</f>
        <v>0</v>
      </c>
      <c r="H8" s="102">
        <f>'intézményi.részl.  '!V241</f>
        <v>2050415</v>
      </c>
      <c r="I8" s="102">
        <f>'intézményi.részl.  '!W241</f>
        <v>0</v>
      </c>
      <c r="J8" s="102">
        <f>'intézményi.részl.  '!X241</f>
        <v>2050415</v>
      </c>
      <c r="K8" s="102">
        <f>'intézményi.részl.  '!Y241</f>
        <v>0</v>
      </c>
      <c r="L8" s="102">
        <f>'intézményi.részl.  '!Z241</f>
        <v>2050415</v>
      </c>
      <c r="M8" s="102">
        <f>'intézményi.részl.  '!AA241</f>
        <v>0</v>
      </c>
      <c r="N8" s="102">
        <f>'intézményi.részl.  '!AB241</f>
        <v>2050415</v>
      </c>
      <c r="O8" s="102">
        <f>'intézményi.részl.  '!AC241</f>
        <v>0</v>
      </c>
      <c r="P8" s="102">
        <f>'intézményi.részl.  '!AD241</f>
        <v>2050415</v>
      </c>
      <c r="Q8" s="102">
        <f>'intézményi.részl.  '!AE241</f>
        <v>0</v>
      </c>
      <c r="R8" s="102">
        <f>'intézményi.részl.  '!AF241</f>
        <v>2050415</v>
      </c>
      <c r="S8" s="102">
        <f>'intézményi.részl.  '!AG241</f>
        <v>31700</v>
      </c>
      <c r="T8" s="102">
        <f>'intézményi.részl.  '!AH241</f>
        <v>2082115</v>
      </c>
      <c r="U8" s="102">
        <f>'intézményi.részl.  '!AI241</f>
        <v>2124850</v>
      </c>
      <c r="V8" s="102">
        <f>'intézményi.részl.  '!AJ241</f>
        <v>0</v>
      </c>
      <c r="W8" s="102">
        <f>'intézményi.részl.  '!AK241</f>
        <v>2124850</v>
      </c>
      <c r="X8" s="103" t="s">
        <v>14</v>
      </c>
      <c r="Y8" s="102">
        <f>'intézményi.részl.  '!AM241</f>
        <v>1213554</v>
      </c>
      <c r="Z8" s="102" t="e">
        <f>'intézményi.részl.  '!AN241</f>
        <v>#REF!</v>
      </c>
      <c r="AA8" s="102" t="e">
        <f>'intézményi.részl.  '!AO241</f>
        <v>#REF!</v>
      </c>
      <c r="AB8" s="102">
        <f>'intézményi.részl.  '!AP241</f>
        <v>118508</v>
      </c>
      <c r="AC8" s="102" t="e">
        <f>'intézményi.részl.  '!AQ241</f>
        <v>#REF!</v>
      </c>
      <c r="AD8" s="102">
        <f>'intézményi.részl.  '!AR241</f>
        <v>30216</v>
      </c>
      <c r="AE8" s="102" t="e">
        <f>'intézményi.részl.  '!AS241</f>
        <v>#REF!</v>
      </c>
      <c r="AF8" s="102">
        <f>'intézményi.részl.  '!AT241</f>
        <v>165169</v>
      </c>
      <c r="AG8" s="102">
        <f>'intézményi.részl.  '!AU241</f>
        <v>1456982</v>
      </c>
      <c r="AH8" s="102">
        <f>'intézményi.részl.  '!AV241</f>
        <v>95144</v>
      </c>
      <c r="AI8" s="102" t="e">
        <f>'intézményi.részl.  '!AW241</f>
        <v>#REF!</v>
      </c>
      <c r="AJ8" s="102">
        <f>'intézményi.részl.  '!AX241</f>
        <v>52534</v>
      </c>
      <c r="AK8" s="102">
        <f>'intézményi.részl.  '!AY241</f>
        <v>1420941</v>
      </c>
      <c r="AL8" s="102">
        <f>'intézményi.részl.  '!AZ241</f>
        <v>96586</v>
      </c>
      <c r="AM8" s="102">
        <v>1431469</v>
      </c>
      <c r="AN8" s="102">
        <f>'intézményi.részl.  '!BB241</f>
        <v>108438</v>
      </c>
      <c r="AO8" s="102">
        <f>'intézményi.részl.  '!BC241</f>
        <v>1591789</v>
      </c>
      <c r="AP8" s="102">
        <f>'intézményi.részl.  '!BD241</f>
        <v>94901</v>
      </c>
      <c r="AQ8" s="102">
        <f>'intézményi.részl.  '!BE241</f>
        <v>1686690</v>
      </c>
      <c r="AR8" s="102">
        <f>'intézményi.részl.  '!BF241</f>
        <v>1228220</v>
      </c>
      <c r="AS8" s="102">
        <f>'intézményi.részl.  '!BG241</f>
        <v>-39730</v>
      </c>
      <c r="AT8" s="102">
        <f>'intézményi.részl.  '!BH241</f>
        <v>1188490</v>
      </c>
      <c r="AU8" s="109"/>
    </row>
    <row r="9" spans="1:69" s="99" customFormat="1">
      <c r="A9" s="103" t="s">
        <v>59</v>
      </c>
      <c r="B9" s="102">
        <f>'intézményi.részl.  '!P242</f>
        <v>982236.99</v>
      </c>
      <c r="C9" s="102">
        <f>'intézményi.részl.  '!Q242</f>
        <v>0</v>
      </c>
      <c r="D9" s="102">
        <f>'intézményi.részl.  '!R242</f>
        <v>982236.99</v>
      </c>
      <c r="E9" s="102">
        <f>'intézményi.részl.  '!S242</f>
        <v>1893</v>
      </c>
      <c r="F9" s="102">
        <f>'intézményi.részl.  '!T242</f>
        <v>984129.99</v>
      </c>
      <c r="G9" s="102">
        <f>'intézményi.részl.  '!U242</f>
        <v>3017</v>
      </c>
      <c r="H9" s="102">
        <f>'intézményi.részl.  '!V242</f>
        <v>987146.99</v>
      </c>
      <c r="I9" s="102">
        <f>'intézményi.részl.  '!W242</f>
        <v>4281</v>
      </c>
      <c r="J9" s="102">
        <f>'intézményi.részl.  '!X242</f>
        <v>991427.99</v>
      </c>
      <c r="K9" s="102">
        <f>'intézményi.részl.  '!Y242</f>
        <v>0</v>
      </c>
      <c r="L9" s="102">
        <f>'intézményi.részl.  '!Z242</f>
        <v>991427.99</v>
      </c>
      <c r="M9" s="102">
        <f>'intézményi.részl.  '!AA242</f>
        <v>2345</v>
      </c>
      <c r="N9" s="102">
        <f>'intézményi.részl.  '!AB242</f>
        <v>993772.99</v>
      </c>
      <c r="O9" s="102">
        <f>'intézményi.részl.  '!AC242</f>
        <v>1121</v>
      </c>
      <c r="P9" s="102">
        <f>'intézményi.részl.  '!AD242</f>
        <v>994893.99</v>
      </c>
      <c r="Q9" s="102">
        <f>'intézményi.részl.  '!AE242</f>
        <v>5274</v>
      </c>
      <c r="R9" s="102">
        <f>'intézményi.részl.  '!AF242</f>
        <v>1000167.99</v>
      </c>
      <c r="S9" s="102">
        <f>'intézményi.részl.  '!AG242</f>
        <v>0</v>
      </c>
      <c r="T9" s="102">
        <f>'intézményi.részl.  '!AH242</f>
        <v>1000167.99</v>
      </c>
      <c r="U9" s="102">
        <f>'intézményi.részl.  '!AI242</f>
        <v>794541</v>
      </c>
      <c r="V9" s="102">
        <f>'intézményi.részl.  '!AJ242</f>
        <v>0</v>
      </c>
      <c r="W9" s="102">
        <f>'intézményi.részl.  '!AK242</f>
        <v>794541</v>
      </c>
      <c r="X9" s="104" t="s">
        <v>16</v>
      </c>
      <c r="Y9" s="102">
        <f>'intézményi.részl.  '!AM242</f>
        <v>73164</v>
      </c>
      <c r="Z9" s="102" t="e">
        <f>'intézményi.részl.  '!AN242</f>
        <v>#REF!</v>
      </c>
      <c r="AA9" s="102" t="e">
        <f>'intézményi.részl.  '!AO242</f>
        <v>#REF!</v>
      </c>
      <c r="AB9" s="102" t="e">
        <f>'intézményi.részl.  '!AP242</f>
        <v>#REF!</v>
      </c>
      <c r="AC9" s="102">
        <f>'intézményi.részl.  '!AQ242</f>
        <v>73164</v>
      </c>
      <c r="AD9" s="102" t="e">
        <f>'intézményi.részl.  '!AR242</f>
        <v>#REF!</v>
      </c>
      <c r="AE9" s="102" t="e">
        <f>'intézményi.részl.  '!AS242</f>
        <v>#REF!</v>
      </c>
      <c r="AF9" s="102" t="e">
        <f>'intézményi.részl.  '!AT242</f>
        <v>#REF!</v>
      </c>
      <c r="AG9" s="102" t="e">
        <f>'intézményi.részl.  '!AU242</f>
        <v>#REF!</v>
      </c>
      <c r="AH9" s="102">
        <f>'intézményi.részl.  '!AV242</f>
        <v>0</v>
      </c>
      <c r="AI9" s="102" t="e">
        <f>'intézményi.részl.  '!AW242</f>
        <v>#REF!</v>
      </c>
      <c r="AJ9" s="102">
        <f>'intézményi.részl.  '!AX242</f>
        <v>0</v>
      </c>
      <c r="AK9" s="102" t="e">
        <f>'intézményi.részl.  '!AY242</f>
        <v>#REF!</v>
      </c>
      <c r="AL9" s="102">
        <f>'intézményi.részl.  '!AZ242</f>
        <v>0</v>
      </c>
      <c r="AM9" s="102" t="e">
        <f>'intézményi.részl.  '!BA242</f>
        <v>#REF!</v>
      </c>
      <c r="AN9" s="102">
        <f>'intézményi.részl.  '!BB242</f>
        <v>0</v>
      </c>
      <c r="AO9" s="102" t="e">
        <f>'intézményi.részl.  '!BC242</f>
        <v>#REF!</v>
      </c>
      <c r="AP9" s="102">
        <f>'intézményi.részl.  '!BD242</f>
        <v>0</v>
      </c>
      <c r="AQ9" s="102" t="e">
        <f>'intézményi.részl.  '!BE242</f>
        <v>#REF!</v>
      </c>
      <c r="AR9" s="102">
        <f>'intézményi.részl.  '!BF242</f>
        <v>31960</v>
      </c>
      <c r="AS9" s="102">
        <f>'intézményi.részl.  '!BG242</f>
        <v>0</v>
      </c>
      <c r="AT9" s="102">
        <f>'intézményi.részl.  '!BH242</f>
        <v>31960</v>
      </c>
      <c r="AU9" s="109"/>
    </row>
    <row r="10" spans="1:69" s="99" customFormat="1">
      <c r="A10" s="103" t="s">
        <v>67</v>
      </c>
      <c r="B10" s="102">
        <f>'intézményi.részl.  '!P243</f>
        <v>150000</v>
      </c>
      <c r="C10" s="102">
        <f>'intézményi.részl.  '!Q243</f>
        <v>0</v>
      </c>
      <c r="D10" s="102">
        <f>'intézményi.részl.  '!R243</f>
        <v>150000</v>
      </c>
      <c r="E10" s="102">
        <f>'intézményi.részl.  '!S243</f>
        <v>100</v>
      </c>
      <c r="F10" s="102">
        <f>'intézményi.részl.  '!T243</f>
        <v>150100</v>
      </c>
      <c r="G10" s="102">
        <f>'intézményi.részl.  '!U243</f>
        <v>0</v>
      </c>
      <c r="H10" s="102">
        <f>'intézményi.részl.  '!V243</f>
        <v>150100</v>
      </c>
      <c r="I10" s="102">
        <f>'intézményi.részl.  '!W243</f>
        <v>0</v>
      </c>
      <c r="J10" s="102">
        <f>'intézményi.részl.  '!X243</f>
        <v>150100</v>
      </c>
      <c r="K10" s="102">
        <f>'intézményi.részl.  '!Y243</f>
        <v>0</v>
      </c>
      <c r="L10" s="102">
        <f>'intézményi.részl.  '!Z243</f>
        <v>150100</v>
      </c>
      <c r="M10" s="102">
        <f>'intézményi.részl.  '!AA243</f>
        <v>0</v>
      </c>
      <c r="N10" s="102">
        <f>'intézményi.részl.  '!AB243</f>
        <v>150100</v>
      </c>
      <c r="O10" s="102">
        <f>'intézményi.részl.  '!AC243</f>
        <v>0</v>
      </c>
      <c r="P10" s="102">
        <f>'intézményi.részl.  '!AD243</f>
        <v>150100</v>
      </c>
      <c r="Q10" s="102">
        <f>'intézményi.részl.  '!AE243</f>
        <v>0</v>
      </c>
      <c r="R10" s="102">
        <f>'intézményi.részl.  '!AF243</f>
        <v>150100</v>
      </c>
      <c r="S10" s="102">
        <f>'intézményi.részl.  '!AG243</f>
        <v>0</v>
      </c>
      <c r="T10" s="102">
        <f>'intézményi.részl.  '!AH243</f>
        <v>150100</v>
      </c>
      <c r="U10" s="102">
        <f>'intézményi.részl.  '!AI243</f>
        <v>172952</v>
      </c>
      <c r="V10" s="102">
        <f>'intézményi.részl.  '!AJ243</f>
        <v>0</v>
      </c>
      <c r="W10" s="102">
        <f>'intézményi.részl.  '!AK243</f>
        <v>172952</v>
      </c>
      <c r="X10" s="101" t="s">
        <v>18</v>
      </c>
      <c r="Y10" s="102">
        <f>'intézményi.részl.  '!AM243</f>
        <v>671084</v>
      </c>
      <c r="Z10" s="102" t="e">
        <f>'intézményi.részl.  '!AN243</f>
        <v>#REF!</v>
      </c>
      <c r="AA10" s="102" t="e">
        <f>'intézményi.részl.  '!AO243</f>
        <v>#REF!</v>
      </c>
      <c r="AB10" s="102" t="e">
        <f>'intézményi.részl.  '!AP243</f>
        <v>#REF!</v>
      </c>
      <c r="AC10" s="102" t="e">
        <f>'intézményi.részl.  '!AQ243</f>
        <v>#REF!</v>
      </c>
      <c r="AD10" s="102" t="e">
        <f>'intézményi.részl.  '!AR243</f>
        <v>#REF!</v>
      </c>
      <c r="AE10" s="102" t="e">
        <f>'intézményi.részl.  '!AS243</f>
        <v>#REF!</v>
      </c>
      <c r="AF10" s="102" t="e">
        <f>'intézményi.részl.  '!AT243</f>
        <v>#REF!</v>
      </c>
      <c r="AG10" s="102" t="e">
        <f>'intézményi.részl.  '!AU243</f>
        <v>#REF!</v>
      </c>
      <c r="AH10" s="102" t="e">
        <f>'intézményi.részl.  '!AV243</f>
        <v>#REF!</v>
      </c>
      <c r="AI10" s="102" t="e">
        <f>'intézményi.részl.  '!AW243</f>
        <v>#REF!</v>
      </c>
      <c r="AJ10" s="102" t="e">
        <f>'intézményi.részl.  '!AX243</f>
        <v>#REF!</v>
      </c>
      <c r="AK10" s="102" t="e">
        <f>'intézményi.részl.  '!AY243</f>
        <v>#REF!</v>
      </c>
      <c r="AL10" s="102" t="e">
        <f>'intézményi.részl.  '!AZ243</f>
        <v>#REF!</v>
      </c>
      <c r="AM10" s="102" t="e">
        <f>'intézményi.részl.  '!BA243</f>
        <v>#REF!</v>
      </c>
      <c r="AN10" s="102" t="e">
        <f>'intézményi.részl.  '!BB243</f>
        <v>#REF!</v>
      </c>
      <c r="AO10" s="102" t="e">
        <f>'intézményi.részl.  '!BC243</f>
        <v>#REF!</v>
      </c>
      <c r="AP10" s="102" t="e">
        <f>'intézményi.részl.  '!BD243</f>
        <v>#REF!</v>
      </c>
      <c r="AQ10" s="102">
        <f>'intézményi.részl.  '!BE243</f>
        <v>905753</v>
      </c>
      <c r="AR10" s="102">
        <f>'intézményi.részl.  '!BF243</f>
        <v>720957</v>
      </c>
      <c r="AS10" s="102">
        <f>'intézményi.részl.  '!BG243</f>
        <v>28161</v>
      </c>
      <c r="AT10" s="102">
        <f>'intézményi.részl.  '!BH243</f>
        <v>749118</v>
      </c>
      <c r="AU10" s="109"/>
    </row>
    <row r="11" spans="1:69" s="99" customFormat="1">
      <c r="A11" s="103" t="s">
        <v>70</v>
      </c>
      <c r="B11" s="102">
        <f>'intézményi.részl.  '!P244</f>
        <v>0</v>
      </c>
      <c r="C11" s="102">
        <f>'intézményi.részl.  '!Q244</f>
        <v>3381</v>
      </c>
      <c r="D11" s="102">
        <f>'intézményi.részl.  '!R244</f>
        <v>3381</v>
      </c>
      <c r="E11" s="102">
        <f>'intézményi.részl.  '!S244</f>
        <v>13851</v>
      </c>
      <c r="F11" s="102">
        <f>'intézményi.részl.  '!T244</f>
        <v>17232</v>
      </c>
      <c r="G11" s="102">
        <f>'intézményi.részl.  '!U244</f>
        <v>2811</v>
      </c>
      <c r="H11" s="102">
        <f>'intézményi.részl.  '!V244</f>
        <v>20043</v>
      </c>
      <c r="I11" s="102">
        <f>'intézményi.részl.  '!W244</f>
        <v>595</v>
      </c>
      <c r="J11" s="102">
        <f>'intézményi.részl.  '!X244</f>
        <v>20638</v>
      </c>
      <c r="K11" s="102">
        <f>'intézményi.részl.  '!Y244</f>
        <v>45000</v>
      </c>
      <c r="L11" s="102">
        <f>'intézményi.részl.  '!Z244</f>
        <v>65638</v>
      </c>
      <c r="M11" s="102">
        <f>'intézményi.részl.  '!AA244</f>
        <v>10869</v>
      </c>
      <c r="N11" s="102">
        <f>'intézményi.részl.  '!AB244</f>
        <v>76507</v>
      </c>
      <c r="O11" s="102">
        <f>'intézményi.részl.  '!AC244</f>
        <v>0</v>
      </c>
      <c r="P11" s="102">
        <f>'intézményi.részl.  '!AD244</f>
        <v>76507</v>
      </c>
      <c r="Q11" s="102">
        <f>'intézményi.részl.  '!AE244</f>
        <v>0</v>
      </c>
      <c r="R11" s="102">
        <f>'intézményi.részl.  '!AF244</f>
        <v>76507</v>
      </c>
      <c r="S11" s="102">
        <f>'intézményi.részl.  '!AG244</f>
        <v>-36545</v>
      </c>
      <c r="T11" s="102">
        <f>'intézményi.részl.  '!AH244</f>
        <v>39962</v>
      </c>
      <c r="U11" s="102">
        <f>'intézményi.részl.  '!AI244</f>
        <v>36544</v>
      </c>
      <c r="V11" s="102">
        <f>'intézményi.részl.  '!AJ244</f>
        <v>0</v>
      </c>
      <c r="W11" s="102">
        <f>'intézményi.részl.  '!AK244</f>
        <v>36544</v>
      </c>
      <c r="X11" s="103" t="s">
        <v>37</v>
      </c>
      <c r="Y11" s="102">
        <f>'intézményi.részl.  '!AM244</f>
        <v>4875770</v>
      </c>
      <c r="Z11" s="102" t="e">
        <f>'intézményi.részl.  '!AN244</f>
        <v>#REF!</v>
      </c>
      <c r="AA11" s="102" t="e">
        <f>'intézményi.részl.  '!AO244</f>
        <v>#REF!</v>
      </c>
      <c r="AB11" s="102" t="e">
        <f>'intézményi.részl.  '!AP244</f>
        <v>#REF!</v>
      </c>
      <c r="AC11" s="102" t="e">
        <f>'intézményi.részl.  '!AQ244</f>
        <v>#REF!</v>
      </c>
      <c r="AD11" s="102" t="e">
        <f>'intézményi.részl.  '!AR244</f>
        <v>#REF!</v>
      </c>
      <c r="AE11" s="102" t="e">
        <f>'intézményi.részl.  '!AS244</f>
        <v>#REF!</v>
      </c>
      <c r="AF11" s="102" t="e">
        <f>'intézményi.részl.  '!AT244</f>
        <v>#REF!</v>
      </c>
      <c r="AG11" s="102">
        <f>'intézményi.részl.  '!AU244</f>
        <v>5183236</v>
      </c>
      <c r="AH11" s="102" t="e">
        <f>'intézményi.részl.  '!AV244</f>
        <v>#REF!</v>
      </c>
      <c r="AI11" s="102" t="e">
        <f>'intézményi.részl.  '!AW244</f>
        <v>#REF!</v>
      </c>
      <c r="AJ11" s="102" t="e">
        <f>'intézményi.részl.  '!AX244</f>
        <v>#REF!</v>
      </c>
      <c r="AK11" s="102" t="e">
        <f>'intézményi.részl.  '!AY244</f>
        <v>#REF!</v>
      </c>
      <c r="AL11" s="102" t="e">
        <f>'intézményi.részl.  '!AZ244</f>
        <v>#REF!</v>
      </c>
      <c r="AM11" s="102" t="e">
        <f>'intézményi.részl.  '!BA244</f>
        <v>#REF!</v>
      </c>
      <c r="AN11" s="102" t="e">
        <f>'intézményi.részl.  '!BB244</f>
        <v>#REF!</v>
      </c>
      <c r="AO11" s="102" t="e">
        <f>'intézményi.részl.  '!BC244</f>
        <v>#REF!</v>
      </c>
      <c r="AP11" s="102" t="e">
        <f>'intézményi.részl.  '!BD244</f>
        <v>#REF!</v>
      </c>
      <c r="AQ11" s="102">
        <f>'intézményi.részl.  '!BE244</f>
        <v>5361782</v>
      </c>
      <c r="AR11" s="102">
        <f>'intézményi.részl.  '!BF244</f>
        <v>2914307</v>
      </c>
      <c r="AS11" s="102">
        <f>'intézményi.részl.  '!BG244</f>
        <v>60148</v>
      </c>
      <c r="AT11" s="102">
        <f>'intézményi.részl.  '!BH244</f>
        <v>2974455</v>
      </c>
      <c r="AU11" s="109"/>
    </row>
    <row r="12" spans="1:69" s="99" customFormat="1">
      <c r="A12" s="32" t="s">
        <v>72</v>
      </c>
      <c r="B12" s="41">
        <f>'intézményi.részl.  '!P245</f>
        <v>26529</v>
      </c>
      <c r="C12" s="41">
        <f>'intézményi.részl.  '!Q245</f>
        <v>0</v>
      </c>
      <c r="D12" s="41">
        <f>'intézményi.részl.  '!R245</f>
        <v>26529</v>
      </c>
      <c r="E12" s="41">
        <f>'intézményi.részl.  '!S245</f>
        <v>187</v>
      </c>
      <c r="F12" s="41">
        <f>'intézményi.részl.  '!T245</f>
        <v>26716</v>
      </c>
      <c r="G12" s="41">
        <f>'intézményi.részl.  '!U245</f>
        <v>370</v>
      </c>
      <c r="H12" s="41">
        <f>'intézményi.részl.  '!V245</f>
        <v>27086</v>
      </c>
      <c r="I12" s="41">
        <f>'intézményi.részl.  '!W245</f>
        <v>986</v>
      </c>
      <c r="J12" s="41">
        <f>'intézményi.részl.  '!X245</f>
        <v>28072</v>
      </c>
      <c r="K12" s="41">
        <f>'intézményi.részl.  '!Y245</f>
        <v>-369</v>
      </c>
      <c r="L12" s="41">
        <f>'intézményi.részl.  '!Z245</f>
        <v>27703</v>
      </c>
      <c r="M12" s="41">
        <f>'intézményi.részl.  '!AA245</f>
        <v>0</v>
      </c>
      <c r="N12" s="41">
        <f>'intézményi.részl.  '!AB245</f>
        <v>27703</v>
      </c>
      <c r="O12" s="41">
        <f>'intézményi.részl.  '!AC245</f>
        <v>0</v>
      </c>
      <c r="P12" s="41">
        <f>'intézményi.részl.  '!AD245</f>
        <v>27703</v>
      </c>
      <c r="Q12" s="41">
        <f>'intézményi.részl.  '!AE245</f>
        <v>0</v>
      </c>
      <c r="R12" s="41">
        <f>'intézményi.részl.  '!AF245</f>
        <v>27703</v>
      </c>
      <c r="S12" s="41">
        <f>'intézményi.részl.  '!AG245</f>
        <v>-20000</v>
      </c>
      <c r="T12" s="41">
        <f>'intézményi.részl.  '!AH245</f>
        <v>7703</v>
      </c>
      <c r="U12" s="41">
        <f>'intézményi.részl.  '!AI245</f>
        <v>27958</v>
      </c>
      <c r="V12" s="41">
        <f>'intézményi.részl.  '!AJ245</f>
        <v>0</v>
      </c>
      <c r="W12" s="41">
        <f>'intézményi.részl.  '!AK245</f>
        <v>27958</v>
      </c>
      <c r="X12" s="32" t="s">
        <v>39</v>
      </c>
      <c r="Y12" s="41">
        <f>'intézményi.részl.  '!AM245</f>
        <v>456890</v>
      </c>
      <c r="Z12" s="41" t="e">
        <f>'intézményi.részl.  '!AN245</f>
        <v>#REF!</v>
      </c>
      <c r="AA12" s="41" t="e">
        <f>'intézményi.részl.  '!AO245</f>
        <v>#REF!</v>
      </c>
      <c r="AB12" s="41" t="e">
        <f>'intézményi.részl.  '!AP245</f>
        <v>#REF!</v>
      </c>
      <c r="AC12" s="41" t="e">
        <f>'intézményi.részl.  '!AQ245</f>
        <v>#REF!</v>
      </c>
      <c r="AD12" s="41" t="e">
        <f>'intézményi.részl.  '!AR245</f>
        <v>#VALUE!</v>
      </c>
      <c r="AE12" s="41" t="e">
        <f>'intézményi.részl.  '!AS245</f>
        <v>#REF!</v>
      </c>
      <c r="AF12" s="41" t="e">
        <f>'intézményi.részl.  '!AT245</f>
        <v>#REF!</v>
      </c>
      <c r="AG12" s="41" t="e">
        <f>'intézményi.részl.  '!AU245</f>
        <v>#REF!</v>
      </c>
      <c r="AH12" s="41" t="e">
        <f>'intézményi.részl.  '!AV245</f>
        <v>#REF!</v>
      </c>
      <c r="AI12" s="41" t="e">
        <f>'intézményi.részl.  '!AW245</f>
        <v>#REF!</v>
      </c>
      <c r="AJ12" s="41">
        <f>'intézményi.részl.  '!AX245</f>
        <v>0</v>
      </c>
      <c r="AK12" s="41" t="e">
        <f>'intézményi.részl.  '!AY245</f>
        <v>#REF!</v>
      </c>
      <c r="AL12" s="41">
        <f>'intézményi.részl.  '!AZ245</f>
        <v>0</v>
      </c>
      <c r="AM12" s="41" t="e">
        <f>'intézményi.részl.  '!BA245</f>
        <v>#REF!</v>
      </c>
      <c r="AN12" s="41" t="e">
        <f>'intézményi.részl.  '!BB245</f>
        <v>#REF!</v>
      </c>
      <c r="AO12" s="41" t="e">
        <f>'intézményi.részl.  '!BC245</f>
        <v>#REF!</v>
      </c>
      <c r="AP12" s="41" t="e">
        <f>'intézményi.részl.  '!BD245</f>
        <v>#REF!</v>
      </c>
      <c r="AQ12" s="41">
        <f>'intézményi.részl.  '!BE245</f>
        <v>557051</v>
      </c>
      <c r="AR12" s="41">
        <f>'intézményi.részl.  '!BF245</f>
        <v>614693</v>
      </c>
      <c r="AS12" s="41">
        <f>'intézményi.részl.  '!BG245</f>
        <v>0</v>
      </c>
      <c r="AT12" s="41">
        <f>'intézményi.részl.  '!BH245</f>
        <v>614693</v>
      </c>
      <c r="AU12" s="109"/>
    </row>
    <row r="13" spans="1:69" s="99" customFormat="1">
      <c r="A13" s="32"/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32" t="s">
        <v>40</v>
      </c>
      <c r="Y13" s="41">
        <f>'intézményi.részl.  '!AM246</f>
        <v>118818</v>
      </c>
      <c r="Z13" s="41" t="e">
        <f>'intézményi.részl.  '!AN246</f>
        <v>#REF!</v>
      </c>
      <c r="AA13" s="41" t="e">
        <f>'intézményi.részl.  '!AO246</f>
        <v>#REF!</v>
      </c>
      <c r="AB13" s="41" t="e">
        <f>'intézményi.részl.  '!AP246</f>
        <v>#REF!</v>
      </c>
      <c r="AC13" s="41" t="e">
        <f>'intézményi.részl.  '!AQ246</f>
        <v>#REF!</v>
      </c>
      <c r="AD13" s="41" t="e">
        <f>'intézményi.részl.  '!AR246</f>
        <v>#REF!</v>
      </c>
      <c r="AE13" s="41" t="e">
        <f>'intézményi.részl.  '!AS246</f>
        <v>#REF!</v>
      </c>
      <c r="AF13" s="41" t="e">
        <f>'intézményi.részl.  '!AT246</f>
        <v>#REF!</v>
      </c>
      <c r="AG13" s="41" t="e">
        <f>'intézményi.részl.  '!AU246</f>
        <v>#REF!</v>
      </c>
      <c r="AH13" s="41">
        <f>'intézményi.részl.  '!AV246</f>
        <v>-850</v>
      </c>
      <c r="AI13" s="41">
        <f>'intézményi.részl.  '!AW246</f>
        <v>25052</v>
      </c>
      <c r="AJ13" s="41">
        <f>'intézményi.részl.  '!AX246</f>
        <v>0</v>
      </c>
      <c r="AK13" s="41">
        <f>'intézményi.részl.  '!AY246</f>
        <v>25052</v>
      </c>
      <c r="AL13" s="41">
        <f>'intézményi.részl.  '!AZ246</f>
        <v>0</v>
      </c>
      <c r="AM13" s="41">
        <f>'intézményi.részl.  '!BA246</f>
        <v>25052</v>
      </c>
      <c r="AN13" s="41">
        <f>'intézményi.részl.  '!BB246</f>
        <v>0</v>
      </c>
      <c r="AO13" s="41">
        <f>'intézményi.részl.  '!BC246</f>
        <v>25052</v>
      </c>
      <c r="AP13" s="41">
        <f>'intézményi.részl.  '!BD246</f>
        <v>-15934</v>
      </c>
      <c r="AQ13" s="41">
        <f>'intézményi.részl.  '!BE246</f>
        <v>46669</v>
      </c>
      <c r="AR13" s="41">
        <f>'intézményi.részl.  '!BF246</f>
        <v>321110</v>
      </c>
      <c r="AS13" s="41">
        <f>'intézményi.részl.  '!BG246</f>
        <v>150</v>
      </c>
      <c r="AT13" s="41">
        <f>'intézményi.részl.  '!BH246</f>
        <v>321260</v>
      </c>
      <c r="AU13" s="109"/>
    </row>
    <row r="14" spans="1:69" s="99" customFormat="1">
      <c r="A14" s="103" t="s">
        <v>289</v>
      </c>
      <c r="B14" s="102">
        <f t="shared" ref="B14:H14" si="0">SUM(B6:B13)</f>
        <v>6834152.9900000002</v>
      </c>
      <c r="C14" s="102">
        <f t="shared" si="0"/>
        <v>28003</v>
      </c>
      <c r="D14" s="102">
        <f t="shared" si="0"/>
        <v>6862155.9900000002</v>
      </c>
      <c r="E14" s="102">
        <f t="shared" si="0"/>
        <v>54511</v>
      </c>
      <c r="F14" s="102">
        <f t="shared" si="0"/>
        <v>6916666.9900000002</v>
      </c>
      <c r="G14" s="102">
        <f t="shared" si="0"/>
        <v>24813</v>
      </c>
      <c r="H14" s="102">
        <f t="shared" si="0"/>
        <v>6941479.9900000002</v>
      </c>
      <c r="I14" s="102">
        <f t="shared" ref="I14:J14" si="1">SUM(I6:I13)</f>
        <v>370622</v>
      </c>
      <c r="J14" s="102">
        <f t="shared" si="1"/>
        <v>7312101.9900000002</v>
      </c>
      <c r="K14" s="102">
        <f t="shared" ref="K14:L14" si="2">SUM(K6:K13)</f>
        <v>186926</v>
      </c>
      <c r="L14" s="102">
        <f t="shared" si="2"/>
        <v>7499027.9900000002</v>
      </c>
      <c r="M14" s="102">
        <f t="shared" ref="M14:N14" si="3">SUM(M6:M13)</f>
        <v>33117</v>
      </c>
      <c r="N14" s="102">
        <f t="shared" si="3"/>
        <v>7532144.9900000002</v>
      </c>
      <c r="O14" s="102">
        <f t="shared" ref="O14:P14" si="4">SUM(O6:O13)</f>
        <v>391718</v>
      </c>
      <c r="P14" s="102">
        <f t="shared" si="4"/>
        <v>7923862.9900000002</v>
      </c>
      <c r="Q14" s="102">
        <f t="shared" ref="Q14:R14" si="5">SUM(Q6:Q13)</f>
        <v>22568</v>
      </c>
      <c r="R14" s="102">
        <f t="shared" si="5"/>
        <v>7946430.9900000002</v>
      </c>
      <c r="S14" s="102">
        <f t="shared" ref="S14:T14" si="6">SUM(S6:S13)</f>
        <v>-16790</v>
      </c>
      <c r="T14" s="102">
        <f t="shared" si="6"/>
        <v>7929640.9900000002</v>
      </c>
      <c r="U14" s="102">
        <f t="shared" ref="U14" si="7">SUM(U6:U13)</f>
        <v>5986040</v>
      </c>
      <c r="V14" s="102">
        <f t="shared" ref="V14:W14" si="8">SUM(V6:V13)</f>
        <v>77488</v>
      </c>
      <c r="W14" s="102">
        <f t="shared" si="8"/>
        <v>6063528</v>
      </c>
      <c r="X14" s="102" t="s">
        <v>290</v>
      </c>
      <c r="Y14" s="102">
        <f>SUM(Y6:Y13)</f>
        <v>9940379</v>
      </c>
      <c r="Z14" s="102" t="e">
        <f>SUM(Z6:Z13)</f>
        <v>#REF!</v>
      </c>
      <c r="AA14" s="102" t="e">
        <f>SUM(AA6:AA13)</f>
        <v>#REF!</v>
      </c>
      <c r="AB14" s="102" t="e">
        <f t="shared" ref="AB14:AC14" si="9">SUM(AB6:AB13)</f>
        <v>#REF!</v>
      </c>
      <c r="AC14" s="102" t="e">
        <f t="shared" si="9"/>
        <v>#REF!</v>
      </c>
      <c r="AD14" s="102" t="e">
        <f t="shared" ref="AD14:AE14" si="10">SUM(AD6:AD13)</f>
        <v>#REF!</v>
      </c>
      <c r="AE14" s="102" t="e">
        <f t="shared" si="10"/>
        <v>#REF!</v>
      </c>
      <c r="AF14" s="102" t="e">
        <f t="shared" ref="AF14:AG14" si="11">SUM(AF6:AF13)</f>
        <v>#REF!</v>
      </c>
      <c r="AG14" s="102" t="e">
        <f t="shared" si="11"/>
        <v>#REF!</v>
      </c>
      <c r="AH14" s="102" t="e">
        <f t="shared" ref="AH14:AI14" si="12">SUM(AH6:AH13)</f>
        <v>#REF!</v>
      </c>
      <c r="AI14" s="102" t="e">
        <f t="shared" si="12"/>
        <v>#REF!</v>
      </c>
      <c r="AJ14" s="102" t="e">
        <f t="shared" ref="AJ14:AK14" si="13">SUM(AJ6:AJ13)</f>
        <v>#REF!</v>
      </c>
      <c r="AK14" s="102" t="e">
        <f t="shared" si="13"/>
        <v>#REF!</v>
      </c>
      <c r="AL14" s="102" t="e">
        <f t="shared" ref="AL14:AM14" si="14">SUM(AL6:AL13)</f>
        <v>#REF!</v>
      </c>
      <c r="AM14" s="102" t="e">
        <f t="shared" si="14"/>
        <v>#REF!</v>
      </c>
      <c r="AN14" s="102" t="e">
        <f t="shared" ref="AN14:AO14" si="15">SUM(AN6:AN13)</f>
        <v>#REF!</v>
      </c>
      <c r="AO14" s="102" t="e">
        <f t="shared" si="15"/>
        <v>#REF!</v>
      </c>
      <c r="AP14" s="102" t="e">
        <f t="shared" ref="AP14:AQ14" si="16">SUM(AP6:AP13)</f>
        <v>#REF!</v>
      </c>
      <c r="AQ14" s="102" t="e">
        <f t="shared" si="16"/>
        <v>#REF!</v>
      </c>
      <c r="AR14" s="102">
        <f t="shared" ref="AR14:AS14" si="17">SUM(AR6:AR13)</f>
        <v>8432848</v>
      </c>
      <c r="AS14" s="102">
        <f t="shared" si="17"/>
        <v>77488</v>
      </c>
      <c r="AT14" s="102">
        <f t="shared" ref="AT14" si="18">SUM(AT6:AT13)</f>
        <v>8510336</v>
      </c>
      <c r="AU14" s="109"/>
    </row>
    <row r="15" spans="1:69" s="99" customFormat="1">
      <c r="A15" s="684" t="s">
        <v>291</v>
      </c>
      <c r="B15" s="685"/>
      <c r="C15" s="685"/>
      <c r="D15" s="685"/>
      <c r="E15" s="685"/>
      <c r="F15" s="685"/>
      <c r="G15" s="685"/>
      <c r="H15" s="685"/>
      <c r="I15" s="685"/>
      <c r="J15" s="685"/>
      <c r="K15" s="685"/>
      <c r="L15" s="685"/>
      <c r="M15" s="685"/>
      <c r="N15" s="685"/>
      <c r="O15" s="685"/>
      <c r="P15" s="685"/>
      <c r="Q15" s="685"/>
      <c r="R15" s="685"/>
      <c r="S15" s="685"/>
      <c r="T15" s="685"/>
      <c r="U15" s="685"/>
      <c r="V15" s="685"/>
      <c r="W15" s="685"/>
      <c r="X15" s="686"/>
      <c r="Y15" s="102">
        <f t="shared" ref="Y15:AT15" si="19">B14-Y14</f>
        <v>-3106226.01</v>
      </c>
      <c r="Z15" s="102" t="e">
        <f t="shared" si="19"/>
        <v>#REF!</v>
      </c>
      <c r="AA15" s="102" t="e">
        <f t="shared" si="19"/>
        <v>#REF!</v>
      </c>
      <c r="AB15" s="102" t="e">
        <f t="shared" si="19"/>
        <v>#REF!</v>
      </c>
      <c r="AC15" s="102" t="e">
        <f t="shared" si="19"/>
        <v>#REF!</v>
      </c>
      <c r="AD15" s="102" t="e">
        <f t="shared" si="19"/>
        <v>#REF!</v>
      </c>
      <c r="AE15" s="102" t="e">
        <f t="shared" si="19"/>
        <v>#REF!</v>
      </c>
      <c r="AF15" s="102" t="e">
        <f t="shared" si="19"/>
        <v>#REF!</v>
      </c>
      <c r="AG15" s="102" t="e">
        <f t="shared" si="19"/>
        <v>#REF!</v>
      </c>
      <c r="AH15" s="102" t="e">
        <f t="shared" si="19"/>
        <v>#REF!</v>
      </c>
      <c r="AI15" s="102" t="e">
        <f t="shared" si="19"/>
        <v>#REF!</v>
      </c>
      <c r="AJ15" s="102" t="e">
        <f t="shared" si="19"/>
        <v>#REF!</v>
      </c>
      <c r="AK15" s="102" t="e">
        <f t="shared" si="19"/>
        <v>#REF!</v>
      </c>
      <c r="AL15" s="102" t="e">
        <f t="shared" si="19"/>
        <v>#REF!</v>
      </c>
      <c r="AM15" s="102" t="e">
        <f t="shared" si="19"/>
        <v>#REF!</v>
      </c>
      <c r="AN15" s="102" t="e">
        <f t="shared" si="19"/>
        <v>#REF!</v>
      </c>
      <c r="AO15" s="102" t="e">
        <f t="shared" si="19"/>
        <v>#REF!</v>
      </c>
      <c r="AP15" s="102" t="e">
        <f t="shared" si="19"/>
        <v>#REF!</v>
      </c>
      <c r="AQ15" s="102" t="e">
        <f t="shared" si="19"/>
        <v>#REF!</v>
      </c>
      <c r="AR15" s="102">
        <f t="shared" si="19"/>
        <v>-2446808</v>
      </c>
      <c r="AS15" s="102">
        <f t="shared" si="19"/>
        <v>0</v>
      </c>
      <c r="AT15" s="102">
        <f t="shared" si="19"/>
        <v>-2446808</v>
      </c>
      <c r="AU15" s="109"/>
    </row>
    <row r="16" spans="1:69" s="99" customFormat="1">
      <c r="A16" s="687" t="s">
        <v>115</v>
      </c>
      <c r="B16" s="688"/>
      <c r="C16" s="688"/>
      <c r="D16" s="688"/>
      <c r="E16" s="688"/>
      <c r="F16" s="688"/>
      <c r="G16" s="688"/>
      <c r="H16" s="688"/>
      <c r="I16" s="688"/>
      <c r="J16" s="688"/>
      <c r="K16" s="688"/>
      <c r="L16" s="688"/>
      <c r="M16" s="688"/>
      <c r="N16" s="688"/>
      <c r="O16" s="688"/>
      <c r="P16" s="688"/>
      <c r="Q16" s="688"/>
      <c r="R16" s="688"/>
      <c r="S16" s="688"/>
      <c r="T16" s="688"/>
      <c r="U16" s="688"/>
      <c r="V16" s="688"/>
      <c r="W16" s="688"/>
      <c r="X16" s="689"/>
      <c r="Y16" s="105">
        <f t="shared" ref="Y16:AT16" si="20">(B6+B8+B9+B11)-(Y6+Y7+Y8+Y9+Y10)</f>
        <v>511626.99000000022</v>
      </c>
      <c r="Z16" s="105" t="e">
        <f t="shared" si="20"/>
        <v>#REF!</v>
      </c>
      <c r="AA16" s="105" t="e">
        <f t="shared" si="20"/>
        <v>#REF!</v>
      </c>
      <c r="AB16" s="105" t="e">
        <f t="shared" si="20"/>
        <v>#REF!</v>
      </c>
      <c r="AC16" s="105" t="e">
        <f t="shared" si="20"/>
        <v>#REF!</v>
      </c>
      <c r="AD16" s="105" t="e">
        <f t="shared" si="20"/>
        <v>#REF!</v>
      </c>
      <c r="AE16" s="105" t="e">
        <f t="shared" si="20"/>
        <v>#REF!</v>
      </c>
      <c r="AF16" s="105" t="e">
        <f t="shared" si="20"/>
        <v>#REF!</v>
      </c>
      <c r="AG16" s="105" t="e">
        <f t="shared" si="20"/>
        <v>#REF!</v>
      </c>
      <c r="AH16" s="105" t="e">
        <f t="shared" si="20"/>
        <v>#REF!</v>
      </c>
      <c r="AI16" s="105" t="e">
        <f t="shared" si="20"/>
        <v>#REF!</v>
      </c>
      <c r="AJ16" s="105" t="e">
        <f t="shared" si="20"/>
        <v>#REF!</v>
      </c>
      <c r="AK16" s="105" t="e">
        <f t="shared" si="20"/>
        <v>#REF!</v>
      </c>
      <c r="AL16" s="105" t="e">
        <f t="shared" si="20"/>
        <v>#REF!</v>
      </c>
      <c r="AM16" s="105" t="e">
        <f t="shared" si="20"/>
        <v>#REF!</v>
      </c>
      <c r="AN16" s="105" t="e">
        <f t="shared" si="20"/>
        <v>#REF!</v>
      </c>
      <c r="AO16" s="105" t="e">
        <f t="shared" si="20"/>
        <v>#REF!</v>
      </c>
      <c r="AP16" s="105" t="e">
        <f t="shared" si="20"/>
        <v>#REF!</v>
      </c>
      <c r="AQ16" s="105" t="e">
        <f t="shared" si="20"/>
        <v>#REF!</v>
      </c>
      <c r="AR16" s="105">
        <f t="shared" si="20"/>
        <v>490183</v>
      </c>
      <c r="AS16" s="105">
        <f t="shared" si="20"/>
        <v>59787</v>
      </c>
      <c r="AT16" s="105">
        <f t="shared" si="20"/>
        <v>549970</v>
      </c>
    </row>
    <row r="17" spans="1:48" s="99" customFormat="1">
      <c r="A17" s="687" t="s">
        <v>116</v>
      </c>
      <c r="B17" s="688"/>
      <c r="C17" s="688"/>
      <c r="D17" s="688"/>
      <c r="E17" s="688"/>
      <c r="F17" s="688"/>
      <c r="G17" s="688"/>
      <c r="H17" s="688"/>
      <c r="I17" s="688"/>
      <c r="J17" s="688"/>
      <c r="K17" s="688"/>
      <c r="L17" s="688"/>
      <c r="M17" s="688"/>
      <c r="N17" s="688"/>
      <c r="O17" s="688"/>
      <c r="P17" s="688"/>
      <c r="Q17" s="688"/>
      <c r="R17" s="688"/>
      <c r="S17" s="688"/>
      <c r="T17" s="688"/>
      <c r="U17" s="688"/>
      <c r="V17" s="688"/>
      <c r="W17" s="688"/>
      <c r="X17" s="689"/>
      <c r="Y17" s="105">
        <f t="shared" ref="Y17:AT17" si="21">(B7+B10+B12)-(Y11+Y12+Y13)</f>
        <v>-3617853</v>
      </c>
      <c r="Z17" s="105" t="e">
        <f t="shared" si="21"/>
        <v>#REF!</v>
      </c>
      <c r="AA17" s="105" t="e">
        <f t="shared" si="21"/>
        <v>#REF!</v>
      </c>
      <c r="AB17" s="105" t="e">
        <f t="shared" si="21"/>
        <v>#REF!</v>
      </c>
      <c r="AC17" s="105" t="e">
        <f t="shared" si="21"/>
        <v>#REF!</v>
      </c>
      <c r="AD17" s="105" t="e">
        <f t="shared" si="21"/>
        <v>#REF!</v>
      </c>
      <c r="AE17" s="105" t="e">
        <f t="shared" si="21"/>
        <v>#REF!</v>
      </c>
      <c r="AF17" s="105" t="e">
        <f t="shared" si="21"/>
        <v>#REF!</v>
      </c>
      <c r="AG17" s="105" t="e">
        <f t="shared" si="21"/>
        <v>#REF!</v>
      </c>
      <c r="AH17" s="105" t="e">
        <f t="shared" si="21"/>
        <v>#REF!</v>
      </c>
      <c r="AI17" s="105" t="e">
        <f t="shared" si="21"/>
        <v>#REF!</v>
      </c>
      <c r="AJ17" s="105" t="e">
        <f t="shared" si="21"/>
        <v>#REF!</v>
      </c>
      <c r="AK17" s="105" t="e">
        <f t="shared" si="21"/>
        <v>#REF!</v>
      </c>
      <c r="AL17" s="105" t="e">
        <f t="shared" si="21"/>
        <v>#REF!</v>
      </c>
      <c r="AM17" s="105" t="e">
        <f t="shared" si="21"/>
        <v>#REF!</v>
      </c>
      <c r="AN17" s="105" t="e">
        <f t="shared" si="21"/>
        <v>#REF!</v>
      </c>
      <c r="AO17" s="105" t="e">
        <f t="shared" si="21"/>
        <v>#REF!</v>
      </c>
      <c r="AP17" s="105" t="e">
        <f t="shared" si="21"/>
        <v>#REF!</v>
      </c>
      <c r="AQ17" s="105">
        <f t="shared" si="21"/>
        <v>-3524524</v>
      </c>
      <c r="AR17" s="105">
        <f t="shared" si="21"/>
        <v>-2936991</v>
      </c>
      <c r="AS17" s="105">
        <f t="shared" si="21"/>
        <v>-59787</v>
      </c>
      <c r="AT17" s="105">
        <f t="shared" si="21"/>
        <v>-2996778</v>
      </c>
    </row>
    <row r="18" spans="1:48" s="99" customFormat="1">
      <c r="A18" s="103" t="s">
        <v>79</v>
      </c>
      <c r="B18" s="102">
        <f>'intézményi.részl.  '!P246</f>
        <v>5407368</v>
      </c>
      <c r="C18" s="102">
        <f>'intézményi.részl.  '!Q246</f>
        <v>24819</v>
      </c>
      <c r="D18" s="102">
        <f>'intézményi.részl.  '!R246</f>
        <v>5432187</v>
      </c>
      <c r="E18" s="102">
        <f>'intézményi.részl.  '!S246</f>
        <v>288387</v>
      </c>
      <c r="F18" s="102">
        <f>'intézményi.részl.  '!T246</f>
        <v>5720574</v>
      </c>
      <c r="G18" s="102">
        <f>'intézményi.részl.  '!U246</f>
        <v>32026</v>
      </c>
      <c r="H18" s="102">
        <f>'intézményi.részl.  '!V246</f>
        <v>5752600</v>
      </c>
      <c r="I18" s="102">
        <f>'intézményi.részl.  '!W246</f>
        <v>8373</v>
      </c>
      <c r="J18" s="102">
        <f>'intézményi.részl.  '!X246</f>
        <v>5760973</v>
      </c>
      <c r="K18" s="102">
        <f>'intézményi.részl.  '!Y246</f>
        <v>16272</v>
      </c>
      <c r="L18" s="102">
        <f>'intézményi.részl.  '!Z246</f>
        <v>5777245</v>
      </c>
      <c r="M18" s="102">
        <f>'intézményi.részl.  '!AA246</f>
        <v>-16174</v>
      </c>
      <c r="N18" s="102">
        <f>'intézményi.részl.  '!AB246</f>
        <v>5761071</v>
      </c>
      <c r="O18" s="102">
        <f>'intézményi.részl.  '!AC246</f>
        <v>7910</v>
      </c>
      <c r="P18" s="102">
        <f>'intézményi.részl.  '!AD246</f>
        <v>5768981</v>
      </c>
      <c r="Q18" s="102">
        <f>'intézményi.részl.  '!AE246</f>
        <v>12884</v>
      </c>
      <c r="R18" s="102">
        <f>'intézményi.részl.  '!AF246</f>
        <v>5781865</v>
      </c>
      <c r="S18" s="102">
        <f>'intézményi.részl.  '!AG246</f>
        <v>7490</v>
      </c>
      <c r="T18" s="102">
        <f>'intézményi.részl.  '!AH246</f>
        <v>5789355</v>
      </c>
      <c r="U18" s="102">
        <f>'intézményi.részl.  '!AI246</f>
        <v>4881576</v>
      </c>
      <c r="V18" s="102">
        <f>'intézményi.részl.  '!AJ246</f>
        <v>28758</v>
      </c>
      <c r="W18" s="102">
        <f>'intézményi.részl.  '!AK246</f>
        <v>4910334</v>
      </c>
      <c r="X18" s="102" t="s">
        <v>80</v>
      </c>
      <c r="Y18" s="102">
        <f>'intézményi.részl.  '!AM247</f>
        <v>2301142</v>
      </c>
      <c r="Z18" s="102">
        <f>'intézményi.részl.  '!AN247</f>
        <v>24819</v>
      </c>
      <c r="AA18" s="102">
        <f>'intézményi.részl.  '!AO247</f>
        <v>2325961</v>
      </c>
      <c r="AB18" s="102">
        <f>'intézményi.részl.  '!AP247</f>
        <v>13243</v>
      </c>
      <c r="AC18" s="102">
        <f>'intézményi.részl.  '!AQ247</f>
        <v>2339204</v>
      </c>
      <c r="AD18" s="102">
        <f>'intézményi.részl.  '!AR247</f>
        <v>32026</v>
      </c>
      <c r="AE18" s="102">
        <f>'intézményi.részl.  '!AS247</f>
        <v>2371230</v>
      </c>
      <c r="AF18" s="102">
        <f>'intézményi.részl.  '!AT247</f>
        <v>8373</v>
      </c>
      <c r="AG18" s="102">
        <f>'intézményi.részl.  '!AU247</f>
        <v>2379603</v>
      </c>
      <c r="AH18" s="102">
        <f>'intézményi.részl.  '!AV247</f>
        <v>16272</v>
      </c>
      <c r="AI18" s="102">
        <f>'intézményi.részl.  '!AW247</f>
        <v>2395875</v>
      </c>
      <c r="AJ18" s="102">
        <f>'intézményi.részl.  '!AX247</f>
        <v>-16174</v>
      </c>
      <c r="AK18" s="102">
        <f>'intézményi.részl.  '!AY247</f>
        <v>2379701</v>
      </c>
      <c r="AL18" s="102">
        <f>'intézményi.részl.  '!AZ247</f>
        <v>7910</v>
      </c>
      <c r="AM18" s="102">
        <f>'intézményi.részl.  '!BA247</f>
        <v>2387611</v>
      </c>
      <c r="AN18" s="102">
        <f>'intézményi.részl.  '!BB247</f>
        <v>12884</v>
      </c>
      <c r="AO18" s="102">
        <f>'intézményi.részl.  '!BC247</f>
        <v>2400495</v>
      </c>
      <c r="AP18" s="102">
        <f>'intézményi.részl.  '!BD247</f>
        <v>7490</v>
      </c>
      <c r="AQ18" s="102">
        <f>'intézményi.részl.  '!BE247</f>
        <v>2407985</v>
      </c>
      <c r="AR18" s="102">
        <f>'intézményi.részl.  '!BF247</f>
        <v>2434768</v>
      </c>
      <c r="AS18" s="102">
        <f>'intézményi.részl.  '!BG247</f>
        <v>28758</v>
      </c>
      <c r="AT18" s="102">
        <f>'intézményi.részl.  '!BH247</f>
        <v>2463526</v>
      </c>
      <c r="AU18" s="109"/>
    </row>
    <row r="19" spans="1:48" s="99" customFormat="1">
      <c r="A19" s="188" t="s">
        <v>292</v>
      </c>
      <c r="B19" s="105">
        <f>'intézményi.részl.  '!P248</f>
        <v>2246490</v>
      </c>
      <c r="C19" s="105">
        <f>'intézményi.részl.  '!Q248</f>
        <v>24819</v>
      </c>
      <c r="D19" s="105">
        <f>'intézményi.részl.  '!R248</f>
        <v>2271309</v>
      </c>
      <c r="E19" s="105">
        <f>'intézményi.részl.  '!S248</f>
        <v>13243</v>
      </c>
      <c r="F19" s="105">
        <f>'intézményi.részl.  '!T248</f>
        <v>2284552</v>
      </c>
      <c r="G19" s="105">
        <f>'intézményi.részl.  '!U248</f>
        <v>32026</v>
      </c>
      <c r="H19" s="105">
        <f>'intézményi.részl.  '!V248</f>
        <v>2316578</v>
      </c>
      <c r="I19" s="105">
        <f>'intézményi.részl.  '!W248</f>
        <v>8373</v>
      </c>
      <c r="J19" s="105">
        <f>'intézményi.részl.  '!X248</f>
        <v>2324951</v>
      </c>
      <c r="K19" s="105">
        <f>'intézményi.részl.  '!Y248</f>
        <v>16272</v>
      </c>
      <c r="L19" s="105">
        <f>'intézményi.részl.  '!Z248</f>
        <v>2341223</v>
      </c>
      <c r="M19" s="105">
        <f>'intézményi.részl.  '!AA248</f>
        <v>-16174</v>
      </c>
      <c r="N19" s="105">
        <f>'intézményi.részl.  '!AB248</f>
        <v>2325049</v>
      </c>
      <c r="O19" s="105">
        <f>'intézményi.részl.  '!AC248</f>
        <v>7910</v>
      </c>
      <c r="P19" s="105">
        <f>'intézményi.részl.  '!AD248</f>
        <v>2332959</v>
      </c>
      <c r="Q19" s="105">
        <f>'intézményi.részl.  '!AE248</f>
        <v>12884</v>
      </c>
      <c r="R19" s="105">
        <f>'intézményi.részl.  '!AF248</f>
        <v>2345843</v>
      </c>
      <c r="S19" s="105">
        <f>'intézményi.részl.  '!AG248</f>
        <v>7490</v>
      </c>
      <c r="T19" s="105">
        <f>'intézményi.részl.  '!AH248</f>
        <v>2353333</v>
      </c>
      <c r="U19" s="105">
        <f>'intézményi.részl.  '!AI248</f>
        <v>2364576</v>
      </c>
      <c r="V19" s="105">
        <f>'intézményi.részl.  '!AJ248</f>
        <v>28758</v>
      </c>
      <c r="W19" s="105">
        <f>'intézményi.részl.  '!AK248</f>
        <v>2393334</v>
      </c>
      <c r="X19" s="105" t="s">
        <v>292</v>
      </c>
      <c r="Y19" s="105">
        <f t="shared" ref="Y19:AT19" si="22">B19</f>
        <v>2246490</v>
      </c>
      <c r="Z19" s="105">
        <f t="shared" si="22"/>
        <v>24819</v>
      </c>
      <c r="AA19" s="105">
        <f t="shared" si="22"/>
        <v>2271309</v>
      </c>
      <c r="AB19" s="105">
        <f t="shared" si="22"/>
        <v>13243</v>
      </c>
      <c r="AC19" s="105">
        <f t="shared" si="22"/>
        <v>2284552</v>
      </c>
      <c r="AD19" s="105">
        <f t="shared" si="22"/>
        <v>32026</v>
      </c>
      <c r="AE19" s="105">
        <f t="shared" si="22"/>
        <v>2316578</v>
      </c>
      <c r="AF19" s="105">
        <f t="shared" si="22"/>
        <v>8373</v>
      </c>
      <c r="AG19" s="105">
        <f t="shared" si="22"/>
        <v>2324951</v>
      </c>
      <c r="AH19" s="105">
        <f t="shared" si="22"/>
        <v>16272</v>
      </c>
      <c r="AI19" s="105">
        <f t="shared" si="22"/>
        <v>2341223</v>
      </c>
      <c r="AJ19" s="105">
        <f t="shared" si="22"/>
        <v>-16174</v>
      </c>
      <c r="AK19" s="105">
        <f t="shared" si="22"/>
        <v>2325049</v>
      </c>
      <c r="AL19" s="105">
        <f t="shared" si="22"/>
        <v>7910</v>
      </c>
      <c r="AM19" s="105">
        <f t="shared" si="22"/>
        <v>2332959</v>
      </c>
      <c r="AN19" s="105">
        <f t="shared" si="22"/>
        <v>12884</v>
      </c>
      <c r="AO19" s="105">
        <f t="shared" si="22"/>
        <v>2345843</v>
      </c>
      <c r="AP19" s="105">
        <f t="shared" si="22"/>
        <v>7490</v>
      </c>
      <c r="AQ19" s="105">
        <f t="shared" si="22"/>
        <v>2353333</v>
      </c>
      <c r="AR19" s="105">
        <f t="shared" si="22"/>
        <v>2364576</v>
      </c>
      <c r="AS19" s="105">
        <f t="shared" si="22"/>
        <v>28758</v>
      </c>
      <c r="AT19" s="105">
        <f t="shared" si="22"/>
        <v>2393334</v>
      </c>
    </row>
    <row r="20" spans="1:48" s="99" customFormat="1">
      <c r="A20" s="103" t="s">
        <v>108</v>
      </c>
      <c r="B20" s="102">
        <f t="shared" ref="B20:H20" si="23">B14+B18</f>
        <v>12241520.99</v>
      </c>
      <c r="C20" s="102">
        <f t="shared" si="23"/>
        <v>52822</v>
      </c>
      <c r="D20" s="102">
        <f t="shared" si="23"/>
        <v>12294342.99</v>
      </c>
      <c r="E20" s="102">
        <f t="shared" si="23"/>
        <v>342898</v>
      </c>
      <c r="F20" s="102">
        <f t="shared" si="23"/>
        <v>12637240.99</v>
      </c>
      <c r="G20" s="102">
        <f t="shared" si="23"/>
        <v>56839</v>
      </c>
      <c r="H20" s="102">
        <f t="shared" si="23"/>
        <v>12694079.99</v>
      </c>
      <c r="I20" s="102">
        <f t="shared" ref="I20:J20" si="24">I14+I18</f>
        <v>378995</v>
      </c>
      <c r="J20" s="102">
        <f t="shared" si="24"/>
        <v>13073074.99</v>
      </c>
      <c r="K20" s="102">
        <f t="shared" ref="K20:L20" si="25">K14+K18</f>
        <v>203198</v>
      </c>
      <c r="L20" s="102">
        <f t="shared" si="25"/>
        <v>13276272.99</v>
      </c>
      <c r="M20" s="102">
        <f t="shared" ref="M20:N20" si="26">M14+M18</f>
        <v>16943</v>
      </c>
      <c r="N20" s="102">
        <f t="shared" si="26"/>
        <v>13293215.99</v>
      </c>
      <c r="O20" s="102">
        <f t="shared" ref="O20:P20" si="27">O14+O18</f>
        <v>399628</v>
      </c>
      <c r="P20" s="102">
        <f t="shared" si="27"/>
        <v>13692843.99</v>
      </c>
      <c r="Q20" s="102">
        <f t="shared" ref="Q20:R20" si="28">Q14+Q18</f>
        <v>35452</v>
      </c>
      <c r="R20" s="102">
        <f t="shared" si="28"/>
        <v>13728295.99</v>
      </c>
      <c r="S20" s="102">
        <f t="shared" ref="S20:T20" si="29">S14+S18</f>
        <v>-9300</v>
      </c>
      <c r="T20" s="102">
        <f t="shared" si="29"/>
        <v>13718995.99</v>
      </c>
      <c r="U20" s="102">
        <f t="shared" ref="U20:V20" si="30">U14+U18</f>
        <v>10867616</v>
      </c>
      <c r="V20" s="102">
        <f t="shared" si="30"/>
        <v>106246</v>
      </c>
      <c r="W20" s="102">
        <f t="shared" ref="W20" si="31">W14+W18</f>
        <v>10973862</v>
      </c>
      <c r="X20" s="102" t="s">
        <v>109</v>
      </c>
      <c r="Y20" s="102">
        <f t="shared" ref="Y20:AE20" si="32">Y14+Y18</f>
        <v>12241521</v>
      </c>
      <c r="Z20" s="102" t="e">
        <f t="shared" si="32"/>
        <v>#REF!</v>
      </c>
      <c r="AA20" s="102" t="e">
        <f t="shared" si="32"/>
        <v>#REF!</v>
      </c>
      <c r="AB20" s="102" t="e">
        <f t="shared" si="32"/>
        <v>#REF!</v>
      </c>
      <c r="AC20" s="102" t="e">
        <f t="shared" si="32"/>
        <v>#REF!</v>
      </c>
      <c r="AD20" s="102" t="e">
        <f t="shared" si="32"/>
        <v>#REF!</v>
      </c>
      <c r="AE20" s="102" t="e">
        <f t="shared" si="32"/>
        <v>#REF!</v>
      </c>
      <c r="AF20" s="102" t="e">
        <f t="shared" ref="AF20:AG20" si="33">AF14+AF18</f>
        <v>#REF!</v>
      </c>
      <c r="AG20" s="102" t="e">
        <f t="shared" si="33"/>
        <v>#REF!</v>
      </c>
      <c r="AH20" s="102" t="e">
        <f t="shared" ref="AH20:AI20" si="34">AH14+AH18</f>
        <v>#REF!</v>
      </c>
      <c r="AI20" s="102" t="e">
        <f t="shared" si="34"/>
        <v>#REF!</v>
      </c>
      <c r="AJ20" s="102" t="e">
        <f t="shared" ref="AJ20:AK20" si="35">AJ14+AJ18</f>
        <v>#REF!</v>
      </c>
      <c r="AK20" s="102" t="e">
        <f t="shared" si="35"/>
        <v>#REF!</v>
      </c>
      <c r="AL20" s="102" t="e">
        <f t="shared" ref="AL20:AM20" si="36">AL14+AL18</f>
        <v>#REF!</v>
      </c>
      <c r="AM20" s="102" t="e">
        <f t="shared" si="36"/>
        <v>#REF!</v>
      </c>
      <c r="AN20" s="102" t="e">
        <f t="shared" ref="AN20:AO20" si="37">AN14+AN18</f>
        <v>#REF!</v>
      </c>
      <c r="AO20" s="102" t="e">
        <f t="shared" si="37"/>
        <v>#REF!</v>
      </c>
      <c r="AP20" s="102" t="e">
        <f t="shared" ref="AP20:AQ20" si="38">AP14+AP18</f>
        <v>#REF!</v>
      </c>
      <c r="AQ20" s="102" t="e">
        <f t="shared" si="38"/>
        <v>#REF!</v>
      </c>
      <c r="AR20" s="102">
        <f t="shared" ref="AR20:AS20" si="39">AR14+AR18</f>
        <v>10867616</v>
      </c>
      <c r="AS20" s="102">
        <f t="shared" si="39"/>
        <v>106246</v>
      </c>
      <c r="AT20" s="102">
        <f t="shared" ref="AT20" si="40">AT14+AT18</f>
        <v>10973862</v>
      </c>
      <c r="AU20" s="109"/>
    </row>
    <row r="21" spans="1:48" s="99" customFormat="1">
      <c r="A21" s="103" t="s">
        <v>110</v>
      </c>
      <c r="B21" s="102">
        <f>'intézményi.részl.  '!P252</f>
        <v>8351946.9900000002</v>
      </c>
      <c r="C21" s="102">
        <f>'intézményi.részl.  '!Q252</f>
        <v>52822</v>
      </c>
      <c r="D21" s="102">
        <f>'intézményi.részl.  '!R252</f>
        <v>8404768.9900000002</v>
      </c>
      <c r="E21" s="102">
        <f>'intézményi.részl.  '!S252</f>
        <v>210873</v>
      </c>
      <c r="F21" s="102">
        <f>'intézményi.részl.  '!T252</f>
        <v>8615641.9900000002</v>
      </c>
      <c r="G21" s="102">
        <f>'intézményi.részl.  '!U252</f>
        <v>56469</v>
      </c>
      <c r="H21" s="102">
        <f>'intézményi.részl.  '!V252</f>
        <v>8672110.9900000002</v>
      </c>
      <c r="I21" s="102">
        <f>'intézményi.részl.  '!W252</f>
        <v>238009</v>
      </c>
      <c r="J21" s="102">
        <f>'intézményi.részl.  '!X252</f>
        <v>8910119.9900000002</v>
      </c>
      <c r="K21" s="102">
        <f>'intézményi.részl.  '!Y252</f>
        <v>86680</v>
      </c>
      <c r="L21" s="102">
        <f>'intézményi.részl.  '!Z252</f>
        <v>8996799.9900000002</v>
      </c>
      <c r="M21" s="102">
        <f>'intézményi.részl.  '!AA252</f>
        <v>16943</v>
      </c>
      <c r="N21" s="102">
        <f>'intézményi.részl.  '!AB252</f>
        <v>9013742.9900000002</v>
      </c>
      <c r="O21" s="102">
        <f>'intézményi.részl.  '!AC252</f>
        <v>30628</v>
      </c>
      <c r="P21" s="102">
        <f>'intézményi.részl.  '!AD252</f>
        <v>9044370.9900000002</v>
      </c>
      <c r="Q21" s="102">
        <f>'intézményi.részl.  '!AE252</f>
        <v>35260</v>
      </c>
      <c r="R21" s="102">
        <f>'intézményi.részl.  '!AF252</f>
        <v>9079630.9900000002</v>
      </c>
      <c r="S21" s="102">
        <f>'intézményi.részl.  '!AG252</f>
        <v>10700</v>
      </c>
      <c r="T21" s="102">
        <f>'intézményi.részl.  '!AH252</f>
        <v>9090330.9900000002</v>
      </c>
      <c r="U21" s="102">
        <f>'intézményi.részl.  '!AI252</f>
        <v>8293875</v>
      </c>
      <c r="V21" s="102">
        <f>'intézményi.részl.  '!AJ252</f>
        <v>105735</v>
      </c>
      <c r="W21" s="102">
        <f>'intézményi.részl.  '!AK252</f>
        <v>8399610</v>
      </c>
      <c r="X21" s="102" t="s">
        <v>111</v>
      </c>
      <c r="Y21" s="102">
        <f>'intézményi.részl.  '!AM252</f>
        <v>6790043</v>
      </c>
      <c r="Z21" s="102" t="e">
        <f>'intézményi.részl.  '!AN252</f>
        <v>#REF!</v>
      </c>
      <c r="AA21" s="102" t="e">
        <f>'intézményi.részl.  '!AO252</f>
        <v>#REF!</v>
      </c>
      <c r="AB21" s="102" t="e">
        <f>'intézményi.részl.  '!AP252</f>
        <v>#REF!</v>
      </c>
      <c r="AC21" s="102" t="e">
        <f>'intézményi.részl.  '!AQ252</f>
        <v>#REF!</v>
      </c>
      <c r="AD21" s="102" t="e">
        <f>'intézményi.részl.  '!AR252</f>
        <v>#REF!</v>
      </c>
      <c r="AE21" s="102" t="e">
        <f>'intézményi.részl.  '!AS252</f>
        <v>#REF!</v>
      </c>
      <c r="AF21" s="102" t="e">
        <f>'intézményi.részl.  '!AT252</f>
        <v>#REF!</v>
      </c>
      <c r="AG21" s="102" t="e">
        <f>'intézményi.részl.  '!AU252</f>
        <v>#REF!</v>
      </c>
      <c r="AH21" s="102" t="e">
        <f>'intézményi.részl.  '!AV252</f>
        <v>#REF!</v>
      </c>
      <c r="AI21" s="102" t="e">
        <f>'intézményi.részl.  '!AW252</f>
        <v>#REF!</v>
      </c>
      <c r="AJ21" s="102" t="e">
        <f>'intézményi.részl.  '!AX252</f>
        <v>#REF!</v>
      </c>
      <c r="AK21" s="102" t="e">
        <f>'intézményi.részl.  '!AY252</f>
        <v>#REF!</v>
      </c>
      <c r="AL21" s="102" t="e">
        <f>'intézményi.részl.  '!AZ252</f>
        <v>#REF!</v>
      </c>
      <c r="AM21" s="102" t="e">
        <f>'intézményi.részl.  '!BA252</f>
        <v>#REF!</v>
      </c>
      <c r="AN21" s="102" t="e">
        <f>'intézményi.részl.  '!BB252</f>
        <v>#REF!</v>
      </c>
      <c r="AO21" s="102" t="e">
        <f>'intézményi.részl.  '!BC252</f>
        <v>#REF!</v>
      </c>
      <c r="AP21" s="102" t="e">
        <f>'intézményi.részl.  '!BD252</f>
        <v>#REF!</v>
      </c>
      <c r="AQ21" s="102" t="e">
        <f>'intézményi.részl.  '!BE252</f>
        <v>#REF!</v>
      </c>
      <c r="AR21" s="102">
        <f>'intézményi.részl.  '!BF252</f>
        <v>7017506</v>
      </c>
      <c r="AS21" s="102">
        <f>'intézményi.részl.  '!BG252</f>
        <v>45948</v>
      </c>
      <c r="AT21" s="102">
        <f>'intézményi.részl.  '!BH252</f>
        <v>7063454</v>
      </c>
      <c r="AU21" s="109"/>
    </row>
    <row r="22" spans="1:48" s="99" customFormat="1">
      <c r="A22" s="103" t="s">
        <v>293</v>
      </c>
      <c r="B22" s="102">
        <f>'intézményi.részl.  '!P253</f>
        <v>3889574</v>
      </c>
      <c r="C22" s="102">
        <f>'intézményi.részl.  '!Q253</f>
        <v>0</v>
      </c>
      <c r="D22" s="102">
        <f>'intézményi.részl.  '!R253</f>
        <v>3889574</v>
      </c>
      <c r="E22" s="102">
        <f>'intézményi.részl.  '!S253</f>
        <v>132025</v>
      </c>
      <c r="F22" s="102">
        <f>'intézményi.részl.  '!T253</f>
        <v>4021599</v>
      </c>
      <c r="G22" s="102">
        <f>'intézményi.részl.  '!U253</f>
        <v>370</v>
      </c>
      <c r="H22" s="102">
        <f>'intézményi.részl.  '!V253</f>
        <v>4021969</v>
      </c>
      <c r="I22" s="102">
        <f>'intézményi.részl.  '!W253</f>
        <v>140986</v>
      </c>
      <c r="J22" s="102">
        <f>'intézményi.részl.  '!X253</f>
        <v>4162955</v>
      </c>
      <c r="K22" s="102">
        <f>'intézményi.részl.  '!Y253</f>
        <v>116518</v>
      </c>
      <c r="L22" s="102">
        <f>'intézményi.részl.  '!Z253</f>
        <v>4279473</v>
      </c>
      <c r="M22" s="102">
        <f>'intézményi.részl.  '!AA253</f>
        <v>0</v>
      </c>
      <c r="N22" s="102">
        <f>'intézményi.részl.  '!AB253</f>
        <v>4279473</v>
      </c>
      <c r="O22" s="102">
        <f>'intézményi.részl.  '!AC253</f>
        <v>369000</v>
      </c>
      <c r="P22" s="102">
        <f>'intézményi.részl.  '!AD253</f>
        <v>4648473</v>
      </c>
      <c r="Q22" s="102">
        <f>'intézményi.részl.  '!AE253</f>
        <v>192</v>
      </c>
      <c r="R22" s="102">
        <f>'intézményi.részl.  '!AF253</f>
        <v>4648665</v>
      </c>
      <c r="S22" s="102">
        <f>'intézményi.részl.  '!AG253</f>
        <v>-20000</v>
      </c>
      <c r="T22" s="102">
        <f>'intézményi.részl.  '!AH253</f>
        <v>4628665</v>
      </c>
      <c r="U22" s="102">
        <f>'intézményi.részl.  '!AI253</f>
        <v>2573741</v>
      </c>
      <c r="V22" s="102">
        <f>'intézményi.részl.  '!AJ253</f>
        <v>511</v>
      </c>
      <c r="W22" s="102">
        <f>'intézményi.részl.  '!AK253</f>
        <v>2574252</v>
      </c>
      <c r="X22" s="102" t="s">
        <v>294</v>
      </c>
      <c r="Y22" s="102">
        <f>'intézményi.részl.  '!AM253</f>
        <v>5451478</v>
      </c>
      <c r="Z22" s="102" t="e">
        <f>'intézményi.részl.  '!AN253</f>
        <v>#REF!</v>
      </c>
      <c r="AA22" s="102" t="e">
        <f>'intézményi.részl.  '!AO253</f>
        <v>#REF!</v>
      </c>
      <c r="AB22" s="102" t="e">
        <f>'intézményi.részl.  '!AP253</f>
        <v>#REF!</v>
      </c>
      <c r="AC22" s="102" t="e">
        <f>'intézményi.részl.  '!AQ253</f>
        <v>#REF!</v>
      </c>
      <c r="AD22" s="102" t="e">
        <f>'intézményi.részl.  '!AR253</f>
        <v>#REF!</v>
      </c>
      <c r="AE22" s="102" t="e">
        <f>'intézményi.részl.  '!AS253</f>
        <v>#REF!</v>
      </c>
      <c r="AF22" s="102" t="e">
        <f>'intézményi.részl.  '!AT253</f>
        <v>#REF!</v>
      </c>
      <c r="AG22" s="102" t="e">
        <f>'intézményi.részl.  '!AU253</f>
        <v>#REF!</v>
      </c>
      <c r="AH22" s="102" t="e">
        <f>'intézményi.részl.  '!AV253</f>
        <v>#REF!</v>
      </c>
      <c r="AI22" s="102" t="e">
        <f>'intézményi.részl.  '!AW253</f>
        <v>#REF!</v>
      </c>
      <c r="AJ22" s="102" t="e">
        <f>'intézményi.részl.  '!AX253</f>
        <v>#REF!</v>
      </c>
      <c r="AK22" s="102" t="e">
        <f>'intézményi.részl.  '!AY253</f>
        <v>#REF!</v>
      </c>
      <c r="AL22" s="102" t="e">
        <f>'intézményi.részl.  '!AZ253</f>
        <v>#REF!</v>
      </c>
      <c r="AM22" s="102" t="e">
        <f>'intézményi.részl.  '!BA253</f>
        <v>#REF!</v>
      </c>
      <c r="AN22" s="102" t="e">
        <f>'intézményi.részl.  '!BB253</f>
        <v>#REF!</v>
      </c>
      <c r="AO22" s="102" t="e">
        <f>'intézményi.részl.  '!BC253</f>
        <v>#REF!</v>
      </c>
      <c r="AP22" s="102" t="e">
        <f>'intézményi.részl.  '!BD253</f>
        <v>#REF!</v>
      </c>
      <c r="AQ22" s="102">
        <f>'intézményi.részl.  '!BE253</f>
        <v>5965502</v>
      </c>
      <c r="AR22" s="102">
        <f>'intézményi.részl.  '!BF253</f>
        <v>3850110</v>
      </c>
      <c r="AS22" s="102">
        <f>'intézményi.részl.  '!BG253</f>
        <v>60298</v>
      </c>
      <c r="AT22" s="102">
        <f>'intézményi.részl.  '!BH253</f>
        <v>3910408</v>
      </c>
      <c r="AU22" s="109"/>
    </row>
    <row r="23" spans="1:48" s="99" customFormat="1">
      <c r="A23" s="684" t="s">
        <v>114</v>
      </c>
      <c r="B23" s="685"/>
      <c r="C23" s="685"/>
      <c r="D23" s="685"/>
      <c r="E23" s="685"/>
      <c r="F23" s="685"/>
      <c r="G23" s="685"/>
      <c r="H23" s="685"/>
      <c r="I23" s="685"/>
      <c r="J23" s="685"/>
      <c r="K23" s="685"/>
      <c r="L23" s="685"/>
      <c r="M23" s="685"/>
      <c r="N23" s="685"/>
      <c r="O23" s="685"/>
      <c r="P23" s="685"/>
      <c r="Q23" s="685"/>
      <c r="R23" s="685"/>
      <c r="S23" s="685"/>
      <c r="T23" s="685"/>
      <c r="U23" s="685"/>
      <c r="V23" s="685"/>
      <c r="W23" s="685"/>
      <c r="X23" s="686"/>
      <c r="Y23" s="102">
        <f>'intézményi.részl.  '!P254</f>
        <v>0</v>
      </c>
      <c r="Z23" s="102">
        <f>'intézményi.részl.  '!Q254</f>
        <v>0</v>
      </c>
      <c r="AA23" s="102">
        <f>'intézményi.részl.  '!R254</f>
        <v>0</v>
      </c>
      <c r="AB23" s="102">
        <f>'intézményi.részl.  '!S254</f>
        <v>0</v>
      </c>
      <c r="AC23" s="102">
        <f>'intézményi.részl.  '!T254</f>
        <v>0</v>
      </c>
      <c r="AD23" s="102">
        <f>'intézményi.részl.  '!U254</f>
        <v>0</v>
      </c>
      <c r="AE23" s="102">
        <f>'intézményi.részl.  '!V254</f>
        <v>0</v>
      </c>
      <c r="AF23" s="102">
        <f>'intézményi.részl.  '!W254</f>
        <v>0</v>
      </c>
      <c r="AG23" s="102">
        <f>'intézményi.részl.  '!X254</f>
        <v>0</v>
      </c>
      <c r="AH23" s="102">
        <f>'intézményi.részl.  '!Y254</f>
        <v>0</v>
      </c>
      <c r="AI23" s="102">
        <f>'intézményi.részl.  '!Z254</f>
        <v>0</v>
      </c>
      <c r="AJ23" s="102">
        <f>'intézményi.részl.  '!AA254</f>
        <v>0</v>
      </c>
      <c r="AK23" s="102">
        <f>'intézményi.részl.  '!AB254</f>
        <v>0</v>
      </c>
      <c r="AL23" s="102">
        <f>'intézményi.részl.  '!AC254</f>
        <v>0</v>
      </c>
      <c r="AM23" s="102">
        <f>'intézményi.részl.  '!AD254</f>
        <v>0</v>
      </c>
      <c r="AN23" s="102">
        <f>'intézményi.részl.  '!AE254</f>
        <v>0</v>
      </c>
      <c r="AO23" s="102">
        <f>'intézményi.részl.  '!AF254</f>
        <v>0</v>
      </c>
      <c r="AP23" s="102">
        <f>'intézményi.részl.  '!AG254</f>
        <v>0</v>
      </c>
      <c r="AQ23" s="102">
        <f>'intézményi.részl.  '!AH254</f>
        <v>0</v>
      </c>
      <c r="AR23" s="102">
        <f>'intézményi.részl.  '!AI254</f>
        <v>0</v>
      </c>
      <c r="AS23" s="102">
        <f>'intézményi.részl.  '!AJ254</f>
        <v>0</v>
      </c>
      <c r="AT23" s="102">
        <f>'intézményi.részl.  '!AK254</f>
        <v>0</v>
      </c>
      <c r="AU23" s="109"/>
    </row>
    <row r="24" spans="1:48" s="99" customFormat="1">
      <c r="A24" s="687" t="s">
        <v>115</v>
      </c>
      <c r="B24" s="688"/>
      <c r="C24" s="688"/>
      <c r="D24" s="688"/>
      <c r="E24" s="688"/>
      <c r="F24" s="688"/>
      <c r="G24" s="688"/>
      <c r="H24" s="688"/>
      <c r="I24" s="688"/>
      <c r="J24" s="688"/>
      <c r="K24" s="688"/>
      <c r="L24" s="688"/>
      <c r="M24" s="688"/>
      <c r="N24" s="688"/>
      <c r="O24" s="688"/>
      <c r="P24" s="688"/>
      <c r="Q24" s="688"/>
      <c r="R24" s="688"/>
      <c r="S24" s="688"/>
      <c r="T24" s="688"/>
      <c r="U24" s="688"/>
      <c r="V24" s="688"/>
      <c r="W24" s="688"/>
      <c r="X24" s="689"/>
      <c r="Y24" s="105">
        <f>'intézményi.részl.  '!AM255</f>
        <v>1561903.9900000002</v>
      </c>
      <c r="Z24" s="105" t="e">
        <f>'intézményi.részl.  '!AN255</f>
        <v>#REF!</v>
      </c>
      <c r="AA24" s="105" t="e">
        <f>'intézményi.részl.  '!AO255</f>
        <v>#REF!</v>
      </c>
      <c r="AB24" s="105" t="e">
        <f>'intézményi.részl.  '!AP255</f>
        <v>#REF!</v>
      </c>
      <c r="AC24" s="105" t="e">
        <f>'intézményi.részl.  '!AQ255</f>
        <v>#REF!</v>
      </c>
      <c r="AD24" s="105" t="e">
        <f>'intézményi.részl.  '!AR255</f>
        <v>#REF!</v>
      </c>
      <c r="AE24" s="105" t="e">
        <f>'intézményi.részl.  '!AS255</f>
        <v>#REF!</v>
      </c>
      <c r="AF24" s="105" t="e">
        <f>'intézményi.részl.  '!AT255</f>
        <v>#REF!</v>
      </c>
      <c r="AG24" s="105" t="e">
        <f>'intézményi.részl.  '!AU255</f>
        <v>#REF!</v>
      </c>
      <c r="AH24" s="105" t="e">
        <f>'intézményi.részl.  '!AV255</f>
        <v>#REF!</v>
      </c>
      <c r="AI24" s="105" t="e">
        <f>'intézményi.részl.  '!AW255</f>
        <v>#REF!</v>
      </c>
      <c r="AJ24" s="105" t="e">
        <f>'intézményi.részl.  '!AX255</f>
        <v>#REF!</v>
      </c>
      <c r="AK24" s="105" t="e">
        <f>'intézményi.részl.  '!AY255</f>
        <v>#REF!</v>
      </c>
      <c r="AL24" s="105" t="e">
        <f>'intézményi.részl.  '!AZ255</f>
        <v>#REF!</v>
      </c>
      <c r="AM24" s="105" t="e">
        <f>'intézményi.részl.  '!BA255</f>
        <v>#REF!</v>
      </c>
      <c r="AN24" s="105" t="e">
        <f>'intézményi.részl.  '!BB255</f>
        <v>#REF!</v>
      </c>
      <c r="AO24" s="105" t="e">
        <f>'intézményi.részl.  '!BC255</f>
        <v>#REF!</v>
      </c>
      <c r="AP24" s="105" t="e">
        <f>'intézményi.részl.  '!BD255</f>
        <v>#REF!</v>
      </c>
      <c r="AQ24" s="105" t="e">
        <f>'intézményi.részl.  '!BE255</f>
        <v>#REF!</v>
      </c>
      <c r="AR24" s="105">
        <f>'intézményi.részl.  '!BF255</f>
        <v>1276369</v>
      </c>
      <c r="AS24" s="105">
        <f>'intézményi.részl.  '!BG255</f>
        <v>59787</v>
      </c>
      <c r="AT24" s="105">
        <f>'intézményi.részl.  '!BH255</f>
        <v>1336156</v>
      </c>
    </row>
    <row r="25" spans="1:48" s="99" customFormat="1">
      <c r="A25" s="687" t="s">
        <v>116</v>
      </c>
      <c r="B25" s="688"/>
      <c r="C25" s="688"/>
      <c r="D25" s="688"/>
      <c r="E25" s="688"/>
      <c r="F25" s="688"/>
      <c r="G25" s="688"/>
      <c r="H25" s="688"/>
      <c r="I25" s="688"/>
      <c r="J25" s="688"/>
      <c r="K25" s="688"/>
      <c r="L25" s="688"/>
      <c r="M25" s="688"/>
      <c r="N25" s="688"/>
      <c r="O25" s="688"/>
      <c r="P25" s="688"/>
      <c r="Q25" s="688"/>
      <c r="R25" s="688"/>
      <c r="S25" s="688"/>
      <c r="T25" s="688"/>
      <c r="U25" s="688"/>
      <c r="V25" s="688"/>
      <c r="W25" s="688"/>
      <c r="X25" s="689"/>
      <c r="Y25" s="105">
        <f>'intézményi.részl.  '!AM256</f>
        <v>-1561904</v>
      </c>
      <c r="Z25" s="105" t="e">
        <f>'intézményi.részl.  '!AN256</f>
        <v>#REF!</v>
      </c>
      <c r="AA25" s="105" t="e">
        <f>'intézményi.részl.  '!AO256</f>
        <v>#REF!</v>
      </c>
      <c r="AB25" s="105" t="e">
        <f>'intézményi.részl.  '!AP256</f>
        <v>#REF!</v>
      </c>
      <c r="AC25" s="105" t="e">
        <f>'intézményi.részl.  '!AQ256</f>
        <v>#REF!</v>
      </c>
      <c r="AD25" s="105" t="e">
        <f>'intézményi.részl.  '!AR256</f>
        <v>#REF!</v>
      </c>
      <c r="AE25" s="105" t="e">
        <f>'intézményi.részl.  '!AS256</f>
        <v>#REF!</v>
      </c>
      <c r="AF25" s="105" t="e">
        <f>'intézményi.részl.  '!AT256</f>
        <v>#REF!</v>
      </c>
      <c r="AG25" s="105" t="e">
        <f>'intézményi.részl.  '!AU256</f>
        <v>#REF!</v>
      </c>
      <c r="AH25" s="105" t="e">
        <f>'intézményi.részl.  '!AV256</f>
        <v>#REF!</v>
      </c>
      <c r="AI25" s="105" t="e">
        <f>'intézményi.részl.  '!AW256</f>
        <v>#REF!</v>
      </c>
      <c r="AJ25" s="105" t="e">
        <f>'intézményi.részl.  '!AX256</f>
        <v>#REF!</v>
      </c>
      <c r="AK25" s="105" t="e">
        <f>'intézményi.részl.  '!AY256</f>
        <v>#REF!</v>
      </c>
      <c r="AL25" s="105" t="e">
        <f>'intézményi.részl.  '!AZ256</f>
        <v>#REF!</v>
      </c>
      <c r="AM25" s="105" t="e">
        <f>'intézményi.részl.  '!BA256</f>
        <v>#REF!</v>
      </c>
      <c r="AN25" s="105" t="e">
        <f>'intézményi.részl.  '!BB256</f>
        <v>#REF!</v>
      </c>
      <c r="AO25" s="105" t="e">
        <f>'intézményi.részl.  '!BC256</f>
        <v>#REF!</v>
      </c>
      <c r="AP25" s="105" t="e">
        <f>'intézményi.részl.  '!BD256</f>
        <v>#REF!</v>
      </c>
      <c r="AQ25" s="105">
        <f>'intézményi.részl.  '!BE256</f>
        <v>-1336837</v>
      </c>
      <c r="AR25" s="105">
        <f>'intézményi.részl.  '!BF256</f>
        <v>-1276369</v>
      </c>
      <c r="AS25" s="105">
        <f>'intézményi.részl.  '!BG256</f>
        <v>-59787</v>
      </c>
      <c r="AT25" s="105">
        <f>'intézményi.részl.  '!BH256</f>
        <v>-1336156</v>
      </c>
    </row>
    <row r="26" spans="1:48" s="106" customFormat="1" ht="40.5" customHeight="1">
      <c r="A26" s="40" t="s">
        <v>295</v>
      </c>
      <c r="B26" s="32">
        <f t="shared" ref="B26:W26" si="41">B20-B19</f>
        <v>9995030.9900000002</v>
      </c>
      <c r="C26" s="32">
        <f t="shared" si="41"/>
        <v>28003</v>
      </c>
      <c r="D26" s="32">
        <f t="shared" si="41"/>
        <v>10023033.99</v>
      </c>
      <c r="E26" s="32">
        <f t="shared" si="41"/>
        <v>329655</v>
      </c>
      <c r="F26" s="32">
        <f t="shared" si="41"/>
        <v>10352688.99</v>
      </c>
      <c r="G26" s="32">
        <f t="shared" si="41"/>
        <v>24813</v>
      </c>
      <c r="H26" s="32">
        <f t="shared" si="41"/>
        <v>10377501.99</v>
      </c>
      <c r="I26" s="32">
        <f t="shared" si="41"/>
        <v>370622</v>
      </c>
      <c r="J26" s="32">
        <f t="shared" si="41"/>
        <v>10748123.99</v>
      </c>
      <c r="K26" s="32">
        <f t="shared" si="41"/>
        <v>186926</v>
      </c>
      <c r="L26" s="32">
        <f t="shared" si="41"/>
        <v>10935049.99</v>
      </c>
      <c r="M26" s="32">
        <f t="shared" si="41"/>
        <v>33117</v>
      </c>
      <c r="N26" s="32">
        <f t="shared" si="41"/>
        <v>10968166.99</v>
      </c>
      <c r="O26" s="32">
        <f t="shared" si="41"/>
        <v>391718</v>
      </c>
      <c r="P26" s="32">
        <f t="shared" si="41"/>
        <v>11359884.99</v>
      </c>
      <c r="Q26" s="32">
        <f t="shared" si="41"/>
        <v>22568</v>
      </c>
      <c r="R26" s="32">
        <f t="shared" si="41"/>
        <v>11382452.99</v>
      </c>
      <c r="S26" s="32">
        <f t="shared" si="41"/>
        <v>-16790</v>
      </c>
      <c r="T26" s="32">
        <f t="shared" si="41"/>
        <v>11365662.99</v>
      </c>
      <c r="U26" s="32">
        <f t="shared" si="41"/>
        <v>8503040</v>
      </c>
      <c r="V26" s="32">
        <f t="shared" si="41"/>
        <v>77488</v>
      </c>
      <c r="W26" s="32">
        <f t="shared" si="41"/>
        <v>8580528</v>
      </c>
      <c r="X26" s="40" t="s">
        <v>296</v>
      </c>
      <c r="Y26" s="41">
        <f t="shared" ref="Y26:AE26" si="42">Y20-Y19</f>
        <v>9995031</v>
      </c>
      <c r="Z26" s="41" t="e">
        <f t="shared" si="42"/>
        <v>#REF!</v>
      </c>
      <c r="AA26" s="41" t="e">
        <f t="shared" si="42"/>
        <v>#REF!</v>
      </c>
      <c r="AB26" s="41" t="e">
        <f t="shared" si="42"/>
        <v>#REF!</v>
      </c>
      <c r="AC26" s="41" t="e">
        <f t="shared" si="42"/>
        <v>#REF!</v>
      </c>
      <c r="AD26" s="41" t="e">
        <f t="shared" si="42"/>
        <v>#REF!</v>
      </c>
      <c r="AE26" s="41" t="e">
        <f t="shared" si="42"/>
        <v>#REF!</v>
      </c>
      <c r="AF26" s="41" t="e">
        <f t="shared" ref="AF26:AG26" si="43">AF20-AF19</f>
        <v>#REF!</v>
      </c>
      <c r="AG26" s="41" t="e">
        <f t="shared" si="43"/>
        <v>#REF!</v>
      </c>
      <c r="AH26" s="41" t="e">
        <f t="shared" ref="AH26:AI26" si="44">AH20-AH19</f>
        <v>#REF!</v>
      </c>
      <c r="AI26" s="41" t="e">
        <f t="shared" si="44"/>
        <v>#REF!</v>
      </c>
      <c r="AJ26" s="41" t="e">
        <f t="shared" ref="AJ26:AK26" si="45">AJ20-AJ19</f>
        <v>#REF!</v>
      </c>
      <c r="AK26" s="41" t="e">
        <f t="shared" si="45"/>
        <v>#REF!</v>
      </c>
      <c r="AL26" s="41" t="e">
        <f t="shared" ref="AL26:AM26" si="46">AL20-AL19</f>
        <v>#REF!</v>
      </c>
      <c r="AM26" s="41" t="e">
        <f t="shared" si="46"/>
        <v>#REF!</v>
      </c>
      <c r="AN26" s="41" t="e">
        <f t="shared" ref="AN26:AO26" si="47">AN20-AN19</f>
        <v>#REF!</v>
      </c>
      <c r="AO26" s="41" t="e">
        <f t="shared" si="47"/>
        <v>#REF!</v>
      </c>
      <c r="AP26" s="41" t="e">
        <f t="shared" ref="AP26:AQ26" si="48">AP20-AP19</f>
        <v>#REF!</v>
      </c>
      <c r="AQ26" s="41" t="e">
        <f t="shared" si="48"/>
        <v>#REF!</v>
      </c>
      <c r="AR26" s="41">
        <f t="shared" ref="AR26:AS26" si="49">AR20-AR19</f>
        <v>8503040</v>
      </c>
      <c r="AS26" s="41">
        <f t="shared" si="49"/>
        <v>77488</v>
      </c>
      <c r="AT26" s="41">
        <f t="shared" ref="AT26" si="50">AT20-AT19</f>
        <v>8580528</v>
      </c>
      <c r="AU26" s="219"/>
    </row>
    <row r="27" spans="1:48" s="99" customFormat="1">
      <c r="A27" s="189"/>
      <c r="Y27" s="107">
        <f t="shared" ref="Y27:AR27" si="51">B26-Y26</f>
        <v>-9.9999997764825821E-3</v>
      </c>
      <c r="Z27" s="107" t="e">
        <f t="shared" si="51"/>
        <v>#REF!</v>
      </c>
      <c r="AA27" s="107" t="e">
        <f t="shared" si="51"/>
        <v>#REF!</v>
      </c>
      <c r="AB27" s="107" t="e">
        <f t="shared" si="51"/>
        <v>#REF!</v>
      </c>
      <c r="AC27" s="107" t="e">
        <f t="shared" si="51"/>
        <v>#REF!</v>
      </c>
      <c r="AD27" s="107" t="e">
        <f t="shared" si="51"/>
        <v>#REF!</v>
      </c>
      <c r="AE27" s="107" t="e">
        <f t="shared" si="51"/>
        <v>#REF!</v>
      </c>
      <c r="AF27" s="107" t="e">
        <f t="shared" si="51"/>
        <v>#REF!</v>
      </c>
      <c r="AG27" s="107" t="e">
        <f t="shared" si="51"/>
        <v>#REF!</v>
      </c>
      <c r="AH27" s="107" t="e">
        <f t="shared" si="51"/>
        <v>#REF!</v>
      </c>
      <c r="AI27" s="107" t="e">
        <f t="shared" si="51"/>
        <v>#REF!</v>
      </c>
      <c r="AJ27" s="107" t="e">
        <f t="shared" si="51"/>
        <v>#REF!</v>
      </c>
      <c r="AK27" s="107" t="e">
        <f t="shared" si="51"/>
        <v>#REF!</v>
      </c>
      <c r="AL27" s="107" t="e">
        <f t="shared" si="51"/>
        <v>#REF!</v>
      </c>
      <c r="AM27" s="107" t="e">
        <f t="shared" si="51"/>
        <v>#REF!</v>
      </c>
      <c r="AN27" s="107" t="e">
        <f t="shared" si="51"/>
        <v>#REF!</v>
      </c>
      <c r="AO27" s="107" t="e">
        <f t="shared" si="51"/>
        <v>#REF!</v>
      </c>
      <c r="AP27" s="107" t="e">
        <f t="shared" si="51"/>
        <v>#REF!</v>
      </c>
      <c r="AQ27" s="107" t="e">
        <f t="shared" si="51"/>
        <v>#REF!</v>
      </c>
      <c r="AR27" s="107">
        <f t="shared" si="51"/>
        <v>0</v>
      </c>
      <c r="AS27" s="107">
        <f t="shared" ref="AS27:AT27" si="52">V26-AS26</f>
        <v>0</v>
      </c>
      <c r="AT27" s="107">
        <f t="shared" si="52"/>
        <v>0</v>
      </c>
      <c r="AU27" s="107"/>
      <c r="AV27" s="107"/>
    </row>
    <row r="28" spans="1:48" s="99" customFormat="1">
      <c r="A28" s="189"/>
    </row>
    <row r="29" spans="1:48" s="99" customFormat="1">
      <c r="A29" s="189"/>
    </row>
    <row r="30" spans="1:48" s="99" customFormat="1">
      <c r="A30" s="189"/>
    </row>
    <row r="31" spans="1:48" s="99" customFormat="1">
      <c r="A31" s="190"/>
    </row>
    <row r="32" spans="1:48" s="99" customFormat="1">
      <c r="A32" s="190"/>
    </row>
    <row r="33" spans="1:47" s="99" customFormat="1">
      <c r="A33" s="190"/>
    </row>
    <row r="34" spans="1:47" s="99" customFormat="1">
      <c r="A34" s="190"/>
    </row>
    <row r="35" spans="1:47" s="99" customFormat="1">
      <c r="A35" s="190"/>
    </row>
    <row r="36" spans="1:47" s="99" customFormat="1">
      <c r="A36" s="190"/>
    </row>
    <row r="37" spans="1:47" s="99" customFormat="1">
      <c r="A37" s="190"/>
      <c r="X37" s="108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/>
      <c r="AT37" s="109"/>
      <c r="AU37" s="109"/>
    </row>
    <row r="38" spans="1:47" s="99" customFormat="1">
      <c r="A38" s="190"/>
    </row>
    <row r="39" spans="1:47" s="99" customFormat="1">
      <c r="A39" s="190"/>
    </row>
    <row r="40" spans="1:47" s="99" customFormat="1">
      <c r="A40" s="190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</row>
    <row r="41" spans="1:47" s="99" customFormat="1">
      <c r="A41" s="190"/>
    </row>
    <row r="42" spans="1:47" s="99" customFormat="1">
      <c r="A42" s="189"/>
    </row>
    <row r="43" spans="1:47" s="99" customFormat="1">
      <c r="A43" s="189"/>
    </row>
    <row r="44" spans="1:47" s="99" customFormat="1">
      <c r="A44" s="189"/>
      <c r="X44" s="109"/>
      <c r="Y44" s="109"/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/>
      <c r="AT44" s="109"/>
      <c r="AU44" s="109"/>
    </row>
    <row r="45" spans="1:47" s="99" customFormat="1">
      <c r="A45" s="189"/>
    </row>
    <row r="46" spans="1:47" s="99" customFormat="1">
      <c r="A46" s="189"/>
    </row>
    <row r="47" spans="1:47" s="99" customFormat="1">
      <c r="A47" s="191"/>
      <c r="X47" s="109"/>
      <c r="Y47" s="109"/>
      <c r="Z47" s="109"/>
      <c r="AA47" s="109"/>
      <c r="AB47" s="109"/>
      <c r="AC47" s="109"/>
      <c r="AD47" s="109"/>
      <c r="AE47" s="109"/>
      <c r="AF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/>
      <c r="AT47" s="109"/>
      <c r="AU47" s="109"/>
    </row>
    <row r="48" spans="1:47" s="99" customFormat="1">
      <c r="A48" s="191"/>
      <c r="B48" s="109"/>
      <c r="C48" s="109"/>
      <c r="D48" s="109"/>
      <c r="E48" s="109"/>
      <c r="F48" s="109"/>
      <c r="G48" s="109"/>
      <c r="H48" s="109"/>
      <c r="I48" s="109"/>
      <c r="J48" s="109"/>
      <c r="K48" s="109"/>
      <c r="L48" s="109"/>
      <c r="M48" s="109"/>
      <c r="N48" s="109"/>
      <c r="O48" s="109"/>
      <c r="P48" s="109"/>
      <c r="Q48" s="109"/>
      <c r="R48" s="109"/>
      <c r="S48" s="109"/>
      <c r="T48" s="109"/>
      <c r="U48" s="109"/>
      <c r="V48" s="109"/>
      <c r="W48" s="109"/>
    </row>
    <row r="49" spans="1:47" s="99" customFormat="1">
      <c r="A49" s="189"/>
    </row>
    <row r="50" spans="1:47" s="99" customFormat="1">
      <c r="A50" s="189"/>
    </row>
    <row r="51" spans="1:47" s="99" customFormat="1">
      <c r="A51" s="191"/>
      <c r="B51" s="109"/>
      <c r="C51" s="109"/>
      <c r="D51" s="109"/>
      <c r="E51" s="109"/>
      <c r="F51" s="109"/>
      <c r="G51" s="109"/>
      <c r="H51" s="109"/>
      <c r="I51" s="109"/>
      <c r="J51" s="109"/>
      <c r="K51" s="109"/>
      <c r="L51" s="109"/>
      <c r="M51" s="109"/>
      <c r="N51" s="109"/>
      <c r="O51" s="109"/>
      <c r="P51" s="109"/>
      <c r="Q51" s="109"/>
      <c r="R51" s="109"/>
      <c r="S51" s="109"/>
      <c r="T51" s="109"/>
      <c r="U51" s="109"/>
      <c r="V51" s="109"/>
      <c r="W51" s="109"/>
    </row>
    <row r="52" spans="1:47" s="99" customFormat="1">
      <c r="A52" s="189"/>
    </row>
    <row r="53" spans="1:47" s="99" customFormat="1">
      <c r="A53" s="189"/>
    </row>
    <row r="54" spans="1:47" s="99" customFormat="1">
      <c r="A54" s="191"/>
      <c r="B54" s="109"/>
      <c r="C54" s="109"/>
      <c r="D54" s="109"/>
      <c r="E54" s="109"/>
      <c r="F54" s="109"/>
      <c r="G54" s="109"/>
      <c r="H54" s="109"/>
      <c r="I54" s="109"/>
      <c r="J54" s="109"/>
      <c r="K54" s="109"/>
      <c r="L54" s="109"/>
      <c r="M54" s="109"/>
      <c r="N54" s="109"/>
      <c r="O54" s="109"/>
      <c r="P54" s="109"/>
      <c r="Q54" s="109"/>
      <c r="R54" s="109"/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F54" s="109"/>
      <c r="AG54" s="109"/>
      <c r="AH54" s="109"/>
      <c r="AI54" s="109"/>
      <c r="AJ54" s="109"/>
      <c r="AK54" s="109"/>
      <c r="AL54" s="109"/>
      <c r="AM54" s="109"/>
      <c r="AN54" s="109"/>
      <c r="AO54" s="109"/>
      <c r="AP54" s="109"/>
      <c r="AQ54" s="109"/>
      <c r="AR54" s="109"/>
      <c r="AS54" s="109"/>
      <c r="AT54" s="109"/>
      <c r="AU54" s="109"/>
    </row>
    <row r="55" spans="1:47" s="99" customFormat="1">
      <c r="A55" s="189"/>
    </row>
    <row r="56" spans="1:47" s="99" customFormat="1">
      <c r="A56" s="189"/>
      <c r="X56" s="109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10"/>
      <c r="AJ56" s="110"/>
      <c r="AK56" s="110"/>
      <c r="AL56" s="110"/>
      <c r="AM56" s="110"/>
      <c r="AN56" s="110"/>
      <c r="AO56" s="110"/>
      <c r="AP56" s="110"/>
      <c r="AQ56" s="110"/>
      <c r="AR56" s="110"/>
      <c r="AS56" s="110"/>
      <c r="AT56" s="110"/>
      <c r="AU56" s="110"/>
    </row>
    <row r="57" spans="1:47" s="99" customFormat="1">
      <c r="A57" s="189"/>
    </row>
    <row r="58" spans="1:47" s="99" customFormat="1">
      <c r="A58" s="189"/>
    </row>
    <row r="59" spans="1:47" s="99" customFormat="1">
      <c r="A59" s="189"/>
    </row>
    <row r="60" spans="1:47" s="99" customFormat="1">
      <c r="A60" s="189"/>
    </row>
    <row r="61" spans="1:47" s="99" customFormat="1">
      <c r="A61" s="189"/>
    </row>
    <row r="62" spans="1:47" s="99" customFormat="1">
      <c r="A62" s="189"/>
    </row>
    <row r="63" spans="1:47" s="99" customFormat="1">
      <c r="A63" s="189"/>
    </row>
    <row r="64" spans="1:47" s="99" customFormat="1">
      <c r="A64" s="189"/>
    </row>
    <row r="65" spans="1:1" s="99" customFormat="1">
      <c r="A65" s="189"/>
    </row>
    <row r="66" spans="1:1" s="99" customFormat="1">
      <c r="A66" s="189"/>
    </row>
    <row r="67" spans="1:1" s="99" customFormat="1">
      <c r="A67" s="189"/>
    </row>
    <row r="68" spans="1:1" s="99" customFormat="1">
      <c r="A68" s="189"/>
    </row>
    <row r="94" spans="1:24" ht="31.5">
      <c r="A94" s="373" t="s">
        <v>297</v>
      </c>
      <c r="B94" s="370"/>
      <c r="C94" s="370"/>
      <c r="D94" s="370"/>
      <c r="E94" s="370"/>
      <c r="F94" s="370"/>
      <c r="G94" s="370"/>
      <c r="H94" s="370"/>
      <c r="I94" s="370"/>
      <c r="J94" s="370"/>
      <c r="K94" s="370"/>
      <c r="L94" s="370"/>
      <c r="M94" s="370"/>
      <c r="N94" s="370"/>
      <c r="O94" s="370"/>
      <c r="P94" s="370"/>
      <c r="Q94" s="370"/>
      <c r="R94" s="370"/>
      <c r="S94" s="370"/>
      <c r="T94" s="370"/>
      <c r="U94" s="370"/>
      <c r="V94" s="370"/>
      <c r="W94" s="370"/>
      <c r="X94" s="370"/>
    </row>
    <row r="96" spans="1:24">
      <c r="A96" s="186" t="s">
        <v>2</v>
      </c>
      <c r="B96" s="111"/>
      <c r="C96" s="111"/>
      <c r="D96" s="111"/>
      <c r="E96" s="111"/>
      <c r="F96" s="111"/>
      <c r="G96" s="111"/>
      <c r="H96" s="111"/>
      <c r="I96" s="111"/>
      <c r="J96" s="111"/>
      <c r="K96" s="111"/>
      <c r="L96" s="111"/>
      <c r="M96" s="111"/>
      <c r="N96" s="111"/>
      <c r="O96" s="111"/>
      <c r="P96" s="111"/>
      <c r="Q96" s="111"/>
      <c r="R96" s="111"/>
      <c r="S96" s="111"/>
      <c r="T96" s="111"/>
      <c r="U96" s="111"/>
      <c r="V96" s="111"/>
      <c r="W96" s="111"/>
      <c r="X96" s="371" t="s">
        <v>3</v>
      </c>
    </row>
    <row r="97" spans="1:24">
      <c r="A97" s="186" t="s">
        <v>170</v>
      </c>
      <c r="B97" s="9"/>
      <c r="C97" s="9"/>
      <c r="D97" s="9"/>
      <c r="E97" s="376"/>
      <c r="F97" s="376"/>
      <c r="G97" s="393"/>
      <c r="H97" s="393"/>
      <c r="I97" s="406"/>
      <c r="J97" s="406"/>
      <c r="K97" s="408"/>
      <c r="L97" s="408"/>
      <c r="M97" s="422"/>
      <c r="N97" s="422"/>
      <c r="O97" s="422"/>
      <c r="P97" s="422"/>
      <c r="Q97" s="422"/>
      <c r="R97" s="422"/>
      <c r="S97" s="422"/>
      <c r="T97" s="422"/>
      <c r="U97" s="422"/>
      <c r="V97" s="616"/>
      <c r="W97" s="616"/>
      <c r="X97" s="371" t="s">
        <v>170</v>
      </c>
    </row>
    <row r="98" spans="1:24">
      <c r="A98" s="188" t="s">
        <v>298</v>
      </c>
      <c r="B98" s="105"/>
      <c r="C98" s="105"/>
      <c r="D98" s="105"/>
      <c r="E98" s="105"/>
      <c r="F98" s="105"/>
      <c r="G98" s="105"/>
      <c r="H98" s="105"/>
      <c r="I98" s="105"/>
      <c r="J98" s="105"/>
      <c r="K98" s="105"/>
      <c r="L98" s="105"/>
      <c r="M98" s="105"/>
      <c r="N98" s="105"/>
      <c r="O98" s="105"/>
      <c r="P98" s="105"/>
      <c r="Q98" s="105"/>
      <c r="R98" s="105"/>
      <c r="S98" s="105"/>
      <c r="T98" s="105"/>
      <c r="U98" s="105"/>
      <c r="V98" s="105"/>
      <c r="W98" s="105"/>
      <c r="X98" s="105" t="s">
        <v>172</v>
      </c>
    </row>
    <row r="99" spans="1:24">
      <c r="A99" s="188" t="s">
        <v>299</v>
      </c>
      <c r="B99" s="105"/>
      <c r="C99" s="105"/>
      <c r="D99" s="105"/>
      <c r="E99" s="105"/>
      <c r="F99" s="105"/>
      <c r="G99" s="105"/>
      <c r="H99" s="105"/>
      <c r="I99" s="105"/>
      <c r="J99" s="105"/>
      <c r="K99" s="105"/>
      <c r="L99" s="105"/>
      <c r="M99" s="105"/>
      <c r="N99" s="105"/>
      <c r="O99" s="105"/>
      <c r="P99" s="105"/>
      <c r="Q99" s="105"/>
      <c r="R99" s="105"/>
      <c r="S99" s="105"/>
      <c r="T99" s="105"/>
      <c r="U99" s="105"/>
      <c r="V99" s="105"/>
      <c r="W99" s="105"/>
      <c r="X99" s="105" t="s">
        <v>300</v>
      </c>
    </row>
    <row r="100" spans="1:24">
      <c r="A100" s="188" t="s">
        <v>301</v>
      </c>
      <c r="B100" s="105"/>
      <c r="C100" s="105"/>
      <c r="D100" s="105"/>
      <c r="E100" s="105"/>
      <c r="F100" s="105"/>
      <c r="G100" s="105"/>
      <c r="H100" s="105"/>
      <c r="I100" s="105"/>
      <c r="J100" s="105"/>
      <c r="K100" s="105"/>
      <c r="L100" s="105"/>
      <c r="M100" s="105"/>
      <c r="N100" s="105"/>
      <c r="O100" s="105"/>
      <c r="P100" s="105"/>
      <c r="Q100" s="105"/>
      <c r="R100" s="105"/>
      <c r="S100" s="105"/>
      <c r="T100" s="105"/>
      <c r="U100" s="105"/>
      <c r="V100" s="105"/>
      <c r="W100" s="105"/>
      <c r="X100" s="105" t="s">
        <v>121</v>
      </c>
    </row>
    <row r="101" spans="1:24" s="112" customFormat="1">
      <c r="A101" s="103" t="s">
        <v>96</v>
      </c>
      <c r="B101" s="102"/>
      <c r="C101" s="102"/>
      <c r="D101" s="102"/>
      <c r="E101" s="102"/>
      <c r="F101" s="102"/>
      <c r="G101" s="102"/>
      <c r="H101" s="102"/>
      <c r="I101" s="102"/>
      <c r="J101" s="102"/>
      <c r="K101" s="102"/>
      <c r="L101" s="102"/>
      <c r="M101" s="102"/>
      <c r="N101" s="102"/>
      <c r="O101" s="102"/>
      <c r="P101" s="102"/>
      <c r="Q101" s="102"/>
      <c r="R101" s="102"/>
      <c r="S101" s="102"/>
      <c r="T101" s="102"/>
      <c r="U101" s="102"/>
      <c r="V101" s="102"/>
      <c r="W101" s="102"/>
      <c r="X101" s="102" t="s">
        <v>97</v>
      </c>
    </row>
  </sheetData>
  <mergeCells count="7">
    <mergeCell ref="A2:AT2"/>
    <mergeCell ref="A23:X23"/>
    <mergeCell ref="A24:X24"/>
    <mergeCell ref="A25:X25"/>
    <mergeCell ref="A15:X15"/>
    <mergeCell ref="A16:X16"/>
    <mergeCell ref="A17:X17"/>
  </mergeCells>
  <printOptions horizontalCentered="1" verticalCentered="1"/>
  <pageMargins left="0.11811023622047245" right="0.11811023622047245" top="0.15748031496062992" bottom="0.15748031496062992" header="0.11811023622047245" footer="0.11811023622047245"/>
  <pageSetup paperSize="9" scale="8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B31"/>
  <sheetViews>
    <sheetView view="pageBreakPreview" topLeftCell="A3" zoomScaleNormal="100" zoomScaleSheetLayoutView="100" workbookViewId="0">
      <pane xSplit="1" ySplit="3" topLeftCell="D6" activePane="bottomRight" state="frozen"/>
      <selection activeCell="A3" sqref="A3"/>
      <selection pane="topRight" activeCell="B3" sqref="B3"/>
      <selection pane="bottomLeft" activeCell="A6" sqref="A6"/>
      <selection pane="bottomRight" activeCell="H28" sqref="H28"/>
    </sheetView>
  </sheetViews>
  <sheetFormatPr defaultRowHeight="15.75"/>
  <cols>
    <col min="1" max="1" width="42.28515625" style="147" bestFit="1" customWidth="1"/>
    <col min="2" max="2" width="13.42578125" style="148" bestFit="1" customWidth="1"/>
    <col min="3" max="3" width="13.5703125" style="148" bestFit="1" customWidth="1"/>
    <col min="4" max="4" width="8.85546875" style="148" customWidth="1"/>
    <col min="5" max="5" width="12.140625" style="148" bestFit="1" customWidth="1"/>
    <col min="6" max="6" width="13.42578125" style="148" customWidth="1"/>
    <col min="7" max="7" width="11.28515625" style="148" bestFit="1" customWidth="1"/>
    <col min="8" max="8" width="11.28515625" style="149" bestFit="1" customWidth="1"/>
    <col min="9" max="9" width="11.7109375" style="148" bestFit="1" customWidth="1"/>
    <col min="10" max="10" width="9.7109375" style="148" bestFit="1" customWidth="1"/>
    <col min="11" max="11" width="11.85546875" style="148" customWidth="1"/>
    <col min="12" max="12" width="13.28515625" style="148" customWidth="1"/>
    <col min="13" max="13" width="12.85546875" style="149" customWidth="1"/>
    <col min="14" max="14" width="36" style="147" customWidth="1"/>
    <col min="15" max="15" width="11" style="148" customWidth="1"/>
    <col min="16" max="16" width="12" style="148" customWidth="1"/>
    <col min="17" max="17" width="9.140625" style="148" customWidth="1"/>
    <col min="18" max="18" width="12.28515625" style="148" customWidth="1"/>
    <col min="19" max="19" width="10.140625" style="148" customWidth="1"/>
    <col min="20" max="20" width="12" style="148" customWidth="1"/>
    <col min="21" max="21" width="12.5703125" style="149" bestFit="1" customWidth="1"/>
    <col min="22" max="22" width="10.42578125" style="148" customWidth="1"/>
    <col min="23" max="23" width="9.140625" style="148"/>
    <col min="24" max="24" width="11.5703125" style="148" customWidth="1"/>
    <col min="25" max="25" width="11.42578125" style="148" customWidth="1"/>
    <col min="26" max="26" width="11.5703125" style="149" customWidth="1"/>
    <col min="27" max="27" width="12.42578125" style="148" bestFit="1" customWidth="1"/>
    <col min="28" max="28" width="14" style="293" customWidth="1"/>
    <col min="29" max="179" width="9.140625" style="148"/>
    <col min="180" max="180" width="49.42578125" style="148" customWidth="1"/>
    <col min="181" max="181" width="13.85546875" style="148" bestFit="1" customWidth="1"/>
    <col min="182" max="182" width="13.85546875" style="148" customWidth="1"/>
    <col min="183" max="183" width="9.5703125" style="148" bestFit="1" customWidth="1"/>
    <col min="184" max="184" width="12.140625" style="148" bestFit="1" customWidth="1"/>
    <col min="185" max="185" width="13.42578125" style="148" customWidth="1"/>
    <col min="186" max="186" width="13.28515625" style="148" customWidth="1"/>
    <col min="187" max="187" width="12.28515625" style="148" customWidth="1"/>
    <col min="188" max="188" width="11.7109375" style="148" bestFit="1" customWidth="1"/>
    <col min="189" max="189" width="9.7109375" style="148" bestFit="1" customWidth="1"/>
    <col min="190" max="190" width="11.85546875" style="148" customWidth="1"/>
    <col min="191" max="191" width="13.28515625" style="148" customWidth="1"/>
    <col min="192" max="192" width="12.85546875" style="148" customWidth="1"/>
    <col min="193" max="193" width="36" style="148" customWidth="1"/>
    <col min="194" max="194" width="11" style="148" customWidth="1"/>
    <col min="195" max="195" width="12" style="148" customWidth="1"/>
    <col min="196" max="196" width="9.140625" style="148"/>
    <col min="197" max="197" width="12.28515625" style="148" customWidth="1"/>
    <col min="198" max="198" width="10.140625" style="148" bestFit="1" customWidth="1"/>
    <col min="199" max="199" width="12" style="148" customWidth="1"/>
    <col min="200" max="200" width="12.5703125" style="148" bestFit="1" customWidth="1"/>
    <col min="201" max="201" width="10.42578125" style="148" customWidth="1"/>
    <col min="202" max="202" width="9.140625" style="148"/>
    <col min="203" max="203" width="11.5703125" style="148" customWidth="1"/>
    <col min="204" max="204" width="11.42578125" style="148" customWidth="1"/>
    <col min="205" max="205" width="11.5703125" style="148" customWidth="1"/>
    <col min="206" max="206" width="12.42578125" style="148" bestFit="1" customWidth="1"/>
    <col min="207" max="435" width="9.140625" style="148"/>
    <col min="436" max="436" width="49.42578125" style="148" customWidth="1"/>
    <col min="437" max="437" width="13.85546875" style="148" bestFit="1" customWidth="1"/>
    <col min="438" max="438" width="13.85546875" style="148" customWidth="1"/>
    <col min="439" max="439" width="9.5703125" style="148" bestFit="1" customWidth="1"/>
    <col min="440" max="440" width="12.140625" style="148" bestFit="1" customWidth="1"/>
    <col min="441" max="441" width="13.42578125" style="148" customWidth="1"/>
    <col min="442" max="442" width="13.28515625" style="148" customWidth="1"/>
    <col min="443" max="443" width="12.28515625" style="148" customWidth="1"/>
    <col min="444" max="444" width="11.7109375" style="148" bestFit="1" customWidth="1"/>
    <col min="445" max="445" width="9.7109375" style="148" bestFit="1" customWidth="1"/>
    <col min="446" max="446" width="11.85546875" style="148" customWidth="1"/>
    <col min="447" max="447" width="13.28515625" style="148" customWidth="1"/>
    <col min="448" max="448" width="12.85546875" style="148" customWidth="1"/>
    <col min="449" max="449" width="36" style="148" customWidth="1"/>
    <col min="450" max="450" width="11" style="148" customWidth="1"/>
    <col min="451" max="451" width="12" style="148" customWidth="1"/>
    <col min="452" max="452" width="9.140625" style="148"/>
    <col min="453" max="453" width="12.28515625" style="148" customWidth="1"/>
    <col min="454" max="454" width="10.140625" style="148" bestFit="1" customWidth="1"/>
    <col min="455" max="455" width="12" style="148" customWidth="1"/>
    <col min="456" max="456" width="12.5703125" style="148" bestFit="1" customWidth="1"/>
    <col min="457" max="457" width="10.42578125" style="148" customWidth="1"/>
    <col min="458" max="458" width="9.140625" style="148"/>
    <col min="459" max="459" width="11.5703125" style="148" customWidth="1"/>
    <col min="460" max="460" width="11.42578125" style="148" customWidth="1"/>
    <col min="461" max="461" width="11.5703125" style="148" customWidth="1"/>
    <col min="462" max="462" width="12.42578125" style="148" bestFit="1" customWidth="1"/>
    <col min="463" max="691" width="9.140625" style="148"/>
    <col min="692" max="692" width="49.42578125" style="148" customWidth="1"/>
    <col min="693" max="693" width="13.85546875" style="148" bestFit="1" customWidth="1"/>
    <col min="694" max="694" width="13.85546875" style="148" customWidth="1"/>
    <col min="695" max="695" width="9.5703125" style="148" bestFit="1" customWidth="1"/>
    <col min="696" max="696" width="12.140625" style="148" bestFit="1" customWidth="1"/>
    <col min="697" max="697" width="13.42578125" style="148" customWidth="1"/>
    <col min="698" max="698" width="13.28515625" style="148" customWidth="1"/>
    <col min="699" max="699" width="12.28515625" style="148" customWidth="1"/>
    <col min="700" max="700" width="11.7109375" style="148" bestFit="1" customWidth="1"/>
    <col min="701" max="701" width="9.7109375" style="148" bestFit="1" customWidth="1"/>
    <col min="702" max="702" width="11.85546875" style="148" customWidth="1"/>
    <col min="703" max="703" width="13.28515625" style="148" customWidth="1"/>
    <col min="704" max="704" width="12.85546875" style="148" customWidth="1"/>
    <col min="705" max="705" width="36" style="148" customWidth="1"/>
    <col min="706" max="706" width="11" style="148" customWidth="1"/>
    <col min="707" max="707" width="12" style="148" customWidth="1"/>
    <col min="708" max="708" width="9.140625" style="148"/>
    <col min="709" max="709" width="12.28515625" style="148" customWidth="1"/>
    <col min="710" max="710" width="10.140625" style="148" bestFit="1" customWidth="1"/>
    <col min="711" max="711" width="12" style="148" customWidth="1"/>
    <col min="712" max="712" width="12.5703125" style="148" bestFit="1" customWidth="1"/>
    <col min="713" max="713" width="10.42578125" style="148" customWidth="1"/>
    <col min="714" max="714" width="9.140625" style="148"/>
    <col min="715" max="715" width="11.5703125" style="148" customWidth="1"/>
    <col min="716" max="716" width="11.42578125" style="148" customWidth="1"/>
    <col min="717" max="717" width="11.5703125" style="148" customWidth="1"/>
    <col min="718" max="718" width="12.42578125" style="148" bestFit="1" customWidth="1"/>
    <col min="719" max="947" width="9.140625" style="148"/>
    <col min="948" max="948" width="49.42578125" style="148" customWidth="1"/>
    <col min="949" max="949" width="13.85546875" style="148" bestFit="1" customWidth="1"/>
    <col min="950" max="950" width="13.85546875" style="148" customWidth="1"/>
    <col min="951" max="951" width="9.5703125" style="148" bestFit="1" customWidth="1"/>
    <col min="952" max="952" width="12.140625" style="148" bestFit="1" customWidth="1"/>
    <col min="953" max="953" width="13.42578125" style="148" customWidth="1"/>
    <col min="954" max="954" width="13.28515625" style="148" customWidth="1"/>
    <col min="955" max="955" width="12.28515625" style="148" customWidth="1"/>
    <col min="956" max="956" width="11.7109375" style="148" bestFit="1" customWidth="1"/>
    <col min="957" max="957" width="9.7109375" style="148" bestFit="1" customWidth="1"/>
    <col min="958" max="958" width="11.85546875" style="148" customWidth="1"/>
    <col min="959" max="959" width="13.28515625" style="148" customWidth="1"/>
    <col min="960" max="960" width="12.85546875" style="148" customWidth="1"/>
    <col min="961" max="961" width="36" style="148" customWidth="1"/>
    <col min="962" max="962" width="11" style="148" customWidth="1"/>
    <col min="963" max="963" width="12" style="148" customWidth="1"/>
    <col min="964" max="964" width="9.140625" style="148"/>
    <col min="965" max="965" width="12.28515625" style="148" customWidth="1"/>
    <col min="966" max="966" width="10.140625" style="148" bestFit="1" customWidth="1"/>
    <col min="967" max="967" width="12" style="148" customWidth="1"/>
    <col min="968" max="968" width="12.5703125" style="148" bestFit="1" customWidth="1"/>
    <col min="969" max="969" width="10.42578125" style="148" customWidth="1"/>
    <col min="970" max="970" width="9.140625" style="148"/>
    <col min="971" max="971" width="11.5703125" style="148" customWidth="1"/>
    <col min="972" max="972" width="11.42578125" style="148" customWidth="1"/>
    <col min="973" max="973" width="11.5703125" style="148" customWidth="1"/>
    <col min="974" max="974" width="12.42578125" style="148" bestFit="1" customWidth="1"/>
    <col min="975" max="1203" width="9.140625" style="148"/>
    <col min="1204" max="1204" width="49.42578125" style="148" customWidth="1"/>
    <col min="1205" max="1205" width="13.85546875" style="148" bestFit="1" customWidth="1"/>
    <col min="1206" max="1206" width="13.85546875" style="148" customWidth="1"/>
    <col min="1207" max="1207" width="9.5703125" style="148" bestFit="1" customWidth="1"/>
    <col min="1208" max="1208" width="12.140625" style="148" bestFit="1" customWidth="1"/>
    <col min="1209" max="1209" width="13.42578125" style="148" customWidth="1"/>
    <col min="1210" max="1210" width="13.28515625" style="148" customWidth="1"/>
    <col min="1211" max="1211" width="12.28515625" style="148" customWidth="1"/>
    <col min="1212" max="1212" width="11.7109375" style="148" bestFit="1" customWidth="1"/>
    <col min="1213" max="1213" width="9.7109375" style="148" bestFit="1" customWidth="1"/>
    <col min="1214" max="1214" width="11.85546875" style="148" customWidth="1"/>
    <col min="1215" max="1215" width="13.28515625" style="148" customWidth="1"/>
    <col min="1216" max="1216" width="12.85546875" style="148" customWidth="1"/>
    <col min="1217" max="1217" width="36" style="148" customWidth="1"/>
    <col min="1218" max="1218" width="11" style="148" customWidth="1"/>
    <col min="1219" max="1219" width="12" style="148" customWidth="1"/>
    <col min="1220" max="1220" width="9.140625" style="148"/>
    <col min="1221" max="1221" width="12.28515625" style="148" customWidth="1"/>
    <col min="1222" max="1222" width="10.140625" style="148" bestFit="1" customWidth="1"/>
    <col min="1223" max="1223" width="12" style="148" customWidth="1"/>
    <col min="1224" max="1224" width="12.5703125" style="148" bestFit="1" customWidth="1"/>
    <col min="1225" max="1225" width="10.42578125" style="148" customWidth="1"/>
    <col min="1226" max="1226" width="9.140625" style="148"/>
    <col min="1227" max="1227" width="11.5703125" style="148" customWidth="1"/>
    <col min="1228" max="1228" width="11.42578125" style="148" customWidth="1"/>
    <col min="1229" max="1229" width="11.5703125" style="148" customWidth="1"/>
    <col min="1230" max="1230" width="12.42578125" style="148" bestFit="1" customWidth="1"/>
    <col min="1231" max="1459" width="9.140625" style="148"/>
    <col min="1460" max="1460" width="49.42578125" style="148" customWidth="1"/>
    <col min="1461" max="1461" width="13.85546875" style="148" bestFit="1" customWidth="1"/>
    <col min="1462" max="1462" width="13.85546875" style="148" customWidth="1"/>
    <col min="1463" max="1463" width="9.5703125" style="148" bestFit="1" customWidth="1"/>
    <col min="1464" max="1464" width="12.140625" style="148" bestFit="1" customWidth="1"/>
    <col min="1465" max="1465" width="13.42578125" style="148" customWidth="1"/>
    <col min="1466" max="1466" width="13.28515625" style="148" customWidth="1"/>
    <col min="1467" max="1467" width="12.28515625" style="148" customWidth="1"/>
    <col min="1468" max="1468" width="11.7109375" style="148" bestFit="1" customWidth="1"/>
    <col min="1469" max="1469" width="9.7109375" style="148" bestFit="1" customWidth="1"/>
    <col min="1470" max="1470" width="11.85546875" style="148" customWidth="1"/>
    <col min="1471" max="1471" width="13.28515625" style="148" customWidth="1"/>
    <col min="1472" max="1472" width="12.85546875" style="148" customWidth="1"/>
    <col min="1473" max="1473" width="36" style="148" customWidth="1"/>
    <col min="1474" max="1474" width="11" style="148" customWidth="1"/>
    <col min="1475" max="1475" width="12" style="148" customWidth="1"/>
    <col min="1476" max="1476" width="9.140625" style="148"/>
    <col min="1477" max="1477" width="12.28515625" style="148" customWidth="1"/>
    <col min="1478" max="1478" width="10.140625" style="148" bestFit="1" customWidth="1"/>
    <col min="1479" max="1479" width="12" style="148" customWidth="1"/>
    <col min="1480" max="1480" width="12.5703125" style="148" bestFit="1" customWidth="1"/>
    <col min="1481" max="1481" width="10.42578125" style="148" customWidth="1"/>
    <col min="1482" max="1482" width="9.140625" style="148"/>
    <col min="1483" max="1483" width="11.5703125" style="148" customWidth="1"/>
    <col min="1484" max="1484" width="11.42578125" style="148" customWidth="1"/>
    <col min="1485" max="1485" width="11.5703125" style="148" customWidth="1"/>
    <col min="1486" max="1486" width="12.42578125" style="148" bestFit="1" customWidth="1"/>
    <col min="1487" max="1715" width="9.140625" style="148"/>
    <col min="1716" max="1716" width="49.42578125" style="148" customWidth="1"/>
    <col min="1717" max="1717" width="13.85546875" style="148" bestFit="1" customWidth="1"/>
    <col min="1718" max="1718" width="13.85546875" style="148" customWidth="1"/>
    <col min="1719" max="1719" width="9.5703125" style="148" bestFit="1" customWidth="1"/>
    <col min="1720" max="1720" width="12.140625" style="148" bestFit="1" customWidth="1"/>
    <col min="1721" max="1721" width="13.42578125" style="148" customWidth="1"/>
    <col min="1722" max="1722" width="13.28515625" style="148" customWidth="1"/>
    <col min="1723" max="1723" width="12.28515625" style="148" customWidth="1"/>
    <col min="1724" max="1724" width="11.7109375" style="148" bestFit="1" customWidth="1"/>
    <col min="1725" max="1725" width="9.7109375" style="148" bestFit="1" customWidth="1"/>
    <col min="1726" max="1726" width="11.85546875" style="148" customWidth="1"/>
    <col min="1727" max="1727" width="13.28515625" style="148" customWidth="1"/>
    <col min="1728" max="1728" width="12.85546875" style="148" customWidth="1"/>
    <col min="1729" max="1729" width="36" style="148" customWidth="1"/>
    <col min="1730" max="1730" width="11" style="148" customWidth="1"/>
    <col min="1731" max="1731" width="12" style="148" customWidth="1"/>
    <col min="1732" max="1732" width="9.140625" style="148"/>
    <col min="1733" max="1733" width="12.28515625" style="148" customWidth="1"/>
    <col min="1734" max="1734" width="10.140625" style="148" bestFit="1" customWidth="1"/>
    <col min="1735" max="1735" width="12" style="148" customWidth="1"/>
    <col min="1736" max="1736" width="12.5703125" style="148" bestFit="1" customWidth="1"/>
    <col min="1737" max="1737" width="10.42578125" style="148" customWidth="1"/>
    <col min="1738" max="1738" width="9.140625" style="148"/>
    <col min="1739" max="1739" width="11.5703125" style="148" customWidth="1"/>
    <col min="1740" max="1740" width="11.42578125" style="148" customWidth="1"/>
    <col min="1741" max="1741" width="11.5703125" style="148" customWidth="1"/>
    <col min="1742" max="1742" width="12.42578125" style="148" bestFit="1" customWidth="1"/>
    <col min="1743" max="1971" width="9.140625" style="148"/>
    <col min="1972" max="1972" width="49.42578125" style="148" customWidth="1"/>
    <col min="1973" max="1973" width="13.85546875" style="148" bestFit="1" customWidth="1"/>
    <col min="1974" max="1974" width="13.85546875" style="148" customWidth="1"/>
    <col min="1975" max="1975" width="9.5703125" style="148" bestFit="1" customWidth="1"/>
    <col min="1976" max="1976" width="12.140625" style="148" bestFit="1" customWidth="1"/>
    <col min="1977" max="1977" width="13.42578125" style="148" customWidth="1"/>
    <col min="1978" max="1978" width="13.28515625" style="148" customWidth="1"/>
    <col min="1979" max="1979" width="12.28515625" style="148" customWidth="1"/>
    <col min="1980" max="1980" width="11.7109375" style="148" bestFit="1" customWidth="1"/>
    <col min="1981" max="1981" width="9.7109375" style="148" bestFit="1" customWidth="1"/>
    <col min="1982" max="1982" width="11.85546875" style="148" customWidth="1"/>
    <col min="1983" max="1983" width="13.28515625" style="148" customWidth="1"/>
    <col min="1984" max="1984" width="12.85546875" style="148" customWidth="1"/>
    <col min="1985" max="1985" width="36" style="148" customWidth="1"/>
    <col min="1986" max="1986" width="11" style="148" customWidth="1"/>
    <col min="1987" max="1987" width="12" style="148" customWidth="1"/>
    <col min="1988" max="1988" width="9.140625" style="148"/>
    <col min="1989" max="1989" width="12.28515625" style="148" customWidth="1"/>
    <col min="1990" max="1990" width="10.140625" style="148" bestFit="1" customWidth="1"/>
    <col min="1991" max="1991" width="12" style="148" customWidth="1"/>
    <col min="1992" max="1992" width="12.5703125" style="148" bestFit="1" customWidth="1"/>
    <col min="1993" max="1993" width="10.42578125" style="148" customWidth="1"/>
    <col min="1994" max="1994" width="9.140625" style="148"/>
    <col min="1995" max="1995" width="11.5703125" style="148" customWidth="1"/>
    <col min="1996" max="1996" width="11.42578125" style="148" customWidth="1"/>
    <col min="1997" max="1997" width="11.5703125" style="148" customWidth="1"/>
    <col min="1998" max="1998" width="12.42578125" style="148" bestFit="1" customWidth="1"/>
    <col min="1999" max="2227" width="9.140625" style="148"/>
    <col min="2228" max="2228" width="49.42578125" style="148" customWidth="1"/>
    <col min="2229" max="2229" width="13.85546875" style="148" bestFit="1" customWidth="1"/>
    <col min="2230" max="2230" width="13.85546875" style="148" customWidth="1"/>
    <col min="2231" max="2231" width="9.5703125" style="148" bestFit="1" customWidth="1"/>
    <col min="2232" max="2232" width="12.140625" style="148" bestFit="1" customWidth="1"/>
    <col min="2233" max="2233" width="13.42578125" style="148" customWidth="1"/>
    <col min="2234" max="2234" width="13.28515625" style="148" customWidth="1"/>
    <col min="2235" max="2235" width="12.28515625" style="148" customWidth="1"/>
    <col min="2236" max="2236" width="11.7109375" style="148" bestFit="1" customWidth="1"/>
    <col min="2237" max="2237" width="9.7109375" style="148" bestFit="1" customWidth="1"/>
    <col min="2238" max="2238" width="11.85546875" style="148" customWidth="1"/>
    <col min="2239" max="2239" width="13.28515625" style="148" customWidth="1"/>
    <col min="2240" max="2240" width="12.85546875" style="148" customWidth="1"/>
    <col min="2241" max="2241" width="36" style="148" customWidth="1"/>
    <col min="2242" max="2242" width="11" style="148" customWidth="1"/>
    <col min="2243" max="2243" width="12" style="148" customWidth="1"/>
    <col min="2244" max="2244" width="9.140625" style="148"/>
    <col min="2245" max="2245" width="12.28515625" style="148" customWidth="1"/>
    <col min="2246" max="2246" width="10.140625" style="148" bestFit="1" customWidth="1"/>
    <col min="2247" max="2247" width="12" style="148" customWidth="1"/>
    <col min="2248" max="2248" width="12.5703125" style="148" bestFit="1" customWidth="1"/>
    <col min="2249" max="2249" width="10.42578125" style="148" customWidth="1"/>
    <col min="2250" max="2250" width="9.140625" style="148"/>
    <col min="2251" max="2251" width="11.5703125" style="148" customWidth="1"/>
    <col min="2252" max="2252" width="11.42578125" style="148" customWidth="1"/>
    <col min="2253" max="2253" width="11.5703125" style="148" customWidth="1"/>
    <col min="2254" max="2254" width="12.42578125" style="148" bestFit="1" customWidth="1"/>
    <col min="2255" max="2483" width="9.140625" style="148"/>
    <col min="2484" max="2484" width="49.42578125" style="148" customWidth="1"/>
    <col min="2485" max="2485" width="13.85546875" style="148" bestFit="1" customWidth="1"/>
    <col min="2486" max="2486" width="13.85546875" style="148" customWidth="1"/>
    <col min="2487" max="2487" width="9.5703125" style="148" bestFit="1" customWidth="1"/>
    <col min="2488" max="2488" width="12.140625" style="148" bestFit="1" customWidth="1"/>
    <col min="2489" max="2489" width="13.42578125" style="148" customWidth="1"/>
    <col min="2490" max="2490" width="13.28515625" style="148" customWidth="1"/>
    <col min="2491" max="2491" width="12.28515625" style="148" customWidth="1"/>
    <col min="2492" max="2492" width="11.7109375" style="148" bestFit="1" customWidth="1"/>
    <col min="2493" max="2493" width="9.7109375" style="148" bestFit="1" customWidth="1"/>
    <col min="2494" max="2494" width="11.85546875" style="148" customWidth="1"/>
    <col min="2495" max="2495" width="13.28515625" style="148" customWidth="1"/>
    <col min="2496" max="2496" width="12.85546875" style="148" customWidth="1"/>
    <col min="2497" max="2497" width="36" style="148" customWidth="1"/>
    <col min="2498" max="2498" width="11" style="148" customWidth="1"/>
    <col min="2499" max="2499" width="12" style="148" customWidth="1"/>
    <col min="2500" max="2500" width="9.140625" style="148"/>
    <col min="2501" max="2501" width="12.28515625" style="148" customWidth="1"/>
    <col min="2502" max="2502" width="10.140625" style="148" bestFit="1" customWidth="1"/>
    <col min="2503" max="2503" width="12" style="148" customWidth="1"/>
    <col min="2504" max="2504" width="12.5703125" style="148" bestFit="1" customWidth="1"/>
    <col min="2505" max="2505" width="10.42578125" style="148" customWidth="1"/>
    <col min="2506" max="2506" width="9.140625" style="148"/>
    <col min="2507" max="2507" width="11.5703125" style="148" customWidth="1"/>
    <col min="2508" max="2508" width="11.42578125" style="148" customWidth="1"/>
    <col min="2509" max="2509" width="11.5703125" style="148" customWidth="1"/>
    <col min="2510" max="2510" width="12.42578125" style="148" bestFit="1" customWidth="1"/>
    <col min="2511" max="2739" width="9.140625" style="148"/>
    <col min="2740" max="2740" width="49.42578125" style="148" customWidth="1"/>
    <col min="2741" max="2741" width="13.85546875" style="148" bestFit="1" customWidth="1"/>
    <col min="2742" max="2742" width="13.85546875" style="148" customWidth="1"/>
    <col min="2743" max="2743" width="9.5703125" style="148" bestFit="1" customWidth="1"/>
    <col min="2744" max="2744" width="12.140625" style="148" bestFit="1" customWidth="1"/>
    <col min="2745" max="2745" width="13.42578125" style="148" customWidth="1"/>
    <col min="2746" max="2746" width="13.28515625" style="148" customWidth="1"/>
    <col min="2747" max="2747" width="12.28515625" style="148" customWidth="1"/>
    <col min="2748" max="2748" width="11.7109375" style="148" bestFit="1" customWidth="1"/>
    <col min="2749" max="2749" width="9.7109375" style="148" bestFit="1" customWidth="1"/>
    <col min="2750" max="2750" width="11.85546875" style="148" customWidth="1"/>
    <col min="2751" max="2751" width="13.28515625" style="148" customWidth="1"/>
    <col min="2752" max="2752" width="12.85546875" style="148" customWidth="1"/>
    <col min="2753" max="2753" width="36" style="148" customWidth="1"/>
    <col min="2754" max="2754" width="11" style="148" customWidth="1"/>
    <col min="2755" max="2755" width="12" style="148" customWidth="1"/>
    <col min="2756" max="2756" width="9.140625" style="148"/>
    <col min="2757" max="2757" width="12.28515625" style="148" customWidth="1"/>
    <col min="2758" max="2758" width="10.140625" style="148" bestFit="1" customWidth="1"/>
    <col min="2759" max="2759" width="12" style="148" customWidth="1"/>
    <col min="2760" max="2760" width="12.5703125" style="148" bestFit="1" customWidth="1"/>
    <col min="2761" max="2761" width="10.42578125" style="148" customWidth="1"/>
    <col min="2762" max="2762" width="9.140625" style="148"/>
    <col min="2763" max="2763" width="11.5703125" style="148" customWidth="1"/>
    <col min="2764" max="2764" width="11.42578125" style="148" customWidth="1"/>
    <col min="2765" max="2765" width="11.5703125" style="148" customWidth="1"/>
    <col min="2766" max="2766" width="12.42578125" style="148" bestFit="1" customWidth="1"/>
    <col min="2767" max="2995" width="9.140625" style="148"/>
    <col min="2996" max="2996" width="49.42578125" style="148" customWidth="1"/>
    <col min="2997" max="2997" width="13.85546875" style="148" bestFit="1" customWidth="1"/>
    <col min="2998" max="2998" width="13.85546875" style="148" customWidth="1"/>
    <col min="2999" max="2999" width="9.5703125" style="148" bestFit="1" customWidth="1"/>
    <col min="3000" max="3000" width="12.140625" style="148" bestFit="1" customWidth="1"/>
    <col min="3001" max="3001" width="13.42578125" style="148" customWidth="1"/>
    <col min="3002" max="3002" width="13.28515625" style="148" customWidth="1"/>
    <col min="3003" max="3003" width="12.28515625" style="148" customWidth="1"/>
    <col min="3004" max="3004" width="11.7109375" style="148" bestFit="1" customWidth="1"/>
    <col min="3005" max="3005" width="9.7109375" style="148" bestFit="1" customWidth="1"/>
    <col min="3006" max="3006" width="11.85546875" style="148" customWidth="1"/>
    <col min="3007" max="3007" width="13.28515625" style="148" customWidth="1"/>
    <col min="3008" max="3008" width="12.85546875" style="148" customWidth="1"/>
    <col min="3009" max="3009" width="36" style="148" customWidth="1"/>
    <col min="3010" max="3010" width="11" style="148" customWidth="1"/>
    <col min="3011" max="3011" width="12" style="148" customWidth="1"/>
    <col min="3012" max="3012" width="9.140625" style="148"/>
    <col min="3013" max="3013" width="12.28515625" style="148" customWidth="1"/>
    <col min="3014" max="3014" width="10.140625" style="148" bestFit="1" customWidth="1"/>
    <col min="3015" max="3015" width="12" style="148" customWidth="1"/>
    <col min="3016" max="3016" width="12.5703125" style="148" bestFit="1" customWidth="1"/>
    <col min="3017" max="3017" width="10.42578125" style="148" customWidth="1"/>
    <col min="3018" max="3018" width="9.140625" style="148"/>
    <col min="3019" max="3019" width="11.5703125" style="148" customWidth="1"/>
    <col min="3020" max="3020" width="11.42578125" style="148" customWidth="1"/>
    <col min="3021" max="3021" width="11.5703125" style="148" customWidth="1"/>
    <col min="3022" max="3022" width="12.42578125" style="148" bestFit="1" customWidth="1"/>
    <col min="3023" max="3251" width="9.140625" style="148"/>
    <col min="3252" max="3252" width="49.42578125" style="148" customWidth="1"/>
    <col min="3253" max="3253" width="13.85546875" style="148" bestFit="1" customWidth="1"/>
    <col min="3254" max="3254" width="13.85546875" style="148" customWidth="1"/>
    <col min="3255" max="3255" width="9.5703125" style="148" bestFit="1" customWidth="1"/>
    <col min="3256" max="3256" width="12.140625" style="148" bestFit="1" customWidth="1"/>
    <col min="3257" max="3257" width="13.42578125" style="148" customWidth="1"/>
    <col min="3258" max="3258" width="13.28515625" style="148" customWidth="1"/>
    <col min="3259" max="3259" width="12.28515625" style="148" customWidth="1"/>
    <col min="3260" max="3260" width="11.7109375" style="148" bestFit="1" customWidth="1"/>
    <col min="3261" max="3261" width="9.7109375" style="148" bestFit="1" customWidth="1"/>
    <col min="3262" max="3262" width="11.85546875" style="148" customWidth="1"/>
    <col min="3263" max="3263" width="13.28515625" style="148" customWidth="1"/>
    <col min="3264" max="3264" width="12.85546875" style="148" customWidth="1"/>
    <col min="3265" max="3265" width="36" style="148" customWidth="1"/>
    <col min="3266" max="3266" width="11" style="148" customWidth="1"/>
    <col min="3267" max="3267" width="12" style="148" customWidth="1"/>
    <col min="3268" max="3268" width="9.140625" style="148"/>
    <col min="3269" max="3269" width="12.28515625" style="148" customWidth="1"/>
    <col min="3270" max="3270" width="10.140625" style="148" bestFit="1" customWidth="1"/>
    <col min="3271" max="3271" width="12" style="148" customWidth="1"/>
    <col min="3272" max="3272" width="12.5703125" style="148" bestFit="1" customWidth="1"/>
    <col min="3273" max="3273" width="10.42578125" style="148" customWidth="1"/>
    <col min="3274" max="3274" width="9.140625" style="148"/>
    <col min="3275" max="3275" width="11.5703125" style="148" customWidth="1"/>
    <col min="3276" max="3276" width="11.42578125" style="148" customWidth="1"/>
    <col min="3277" max="3277" width="11.5703125" style="148" customWidth="1"/>
    <col min="3278" max="3278" width="12.42578125" style="148" bestFit="1" customWidth="1"/>
    <col min="3279" max="3507" width="9.140625" style="148"/>
    <col min="3508" max="3508" width="49.42578125" style="148" customWidth="1"/>
    <col min="3509" max="3509" width="13.85546875" style="148" bestFit="1" customWidth="1"/>
    <col min="3510" max="3510" width="13.85546875" style="148" customWidth="1"/>
    <col min="3511" max="3511" width="9.5703125" style="148" bestFit="1" customWidth="1"/>
    <col min="3512" max="3512" width="12.140625" style="148" bestFit="1" customWidth="1"/>
    <col min="3513" max="3513" width="13.42578125" style="148" customWidth="1"/>
    <col min="3514" max="3514" width="13.28515625" style="148" customWidth="1"/>
    <col min="3515" max="3515" width="12.28515625" style="148" customWidth="1"/>
    <col min="3516" max="3516" width="11.7109375" style="148" bestFit="1" customWidth="1"/>
    <col min="3517" max="3517" width="9.7109375" style="148" bestFit="1" customWidth="1"/>
    <col min="3518" max="3518" width="11.85546875" style="148" customWidth="1"/>
    <col min="3519" max="3519" width="13.28515625" style="148" customWidth="1"/>
    <col min="3520" max="3520" width="12.85546875" style="148" customWidth="1"/>
    <col min="3521" max="3521" width="36" style="148" customWidth="1"/>
    <col min="3522" max="3522" width="11" style="148" customWidth="1"/>
    <col min="3523" max="3523" width="12" style="148" customWidth="1"/>
    <col min="3524" max="3524" width="9.140625" style="148"/>
    <col min="3525" max="3525" width="12.28515625" style="148" customWidth="1"/>
    <col min="3526" max="3526" width="10.140625" style="148" bestFit="1" customWidth="1"/>
    <col min="3527" max="3527" width="12" style="148" customWidth="1"/>
    <col min="3528" max="3528" width="12.5703125" style="148" bestFit="1" customWidth="1"/>
    <col min="3529" max="3529" width="10.42578125" style="148" customWidth="1"/>
    <col min="3530" max="3530" width="9.140625" style="148"/>
    <col min="3531" max="3531" width="11.5703125" style="148" customWidth="1"/>
    <col min="3532" max="3532" width="11.42578125" style="148" customWidth="1"/>
    <col min="3533" max="3533" width="11.5703125" style="148" customWidth="1"/>
    <col min="3534" max="3534" width="12.42578125" style="148" bestFit="1" customWidth="1"/>
    <col min="3535" max="3763" width="9.140625" style="148"/>
    <col min="3764" max="3764" width="49.42578125" style="148" customWidth="1"/>
    <col min="3765" max="3765" width="13.85546875" style="148" bestFit="1" customWidth="1"/>
    <col min="3766" max="3766" width="13.85546875" style="148" customWidth="1"/>
    <col min="3767" max="3767" width="9.5703125" style="148" bestFit="1" customWidth="1"/>
    <col min="3768" max="3768" width="12.140625" style="148" bestFit="1" customWidth="1"/>
    <col min="3769" max="3769" width="13.42578125" style="148" customWidth="1"/>
    <col min="3770" max="3770" width="13.28515625" style="148" customWidth="1"/>
    <col min="3771" max="3771" width="12.28515625" style="148" customWidth="1"/>
    <col min="3772" max="3772" width="11.7109375" style="148" bestFit="1" customWidth="1"/>
    <col min="3773" max="3773" width="9.7109375" style="148" bestFit="1" customWidth="1"/>
    <col min="3774" max="3774" width="11.85546875" style="148" customWidth="1"/>
    <col min="3775" max="3775" width="13.28515625" style="148" customWidth="1"/>
    <col min="3776" max="3776" width="12.85546875" style="148" customWidth="1"/>
    <col min="3777" max="3777" width="36" style="148" customWidth="1"/>
    <col min="3778" max="3778" width="11" style="148" customWidth="1"/>
    <col min="3779" max="3779" width="12" style="148" customWidth="1"/>
    <col min="3780" max="3780" width="9.140625" style="148"/>
    <col min="3781" max="3781" width="12.28515625" style="148" customWidth="1"/>
    <col min="3782" max="3782" width="10.140625" style="148" bestFit="1" customWidth="1"/>
    <col min="3783" max="3783" width="12" style="148" customWidth="1"/>
    <col min="3784" max="3784" width="12.5703125" style="148" bestFit="1" customWidth="1"/>
    <col min="3785" max="3785" width="10.42578125" style="148" customWidth="1"/>
    <col min="3786" max="3786" width="9.140625" style="148"/>
    <col min="3787" max="3787" width="11.5703125" style="148" customWidth="1"/>
    <col min="3788" max="3788" width="11.42578125" style="148" customWidth="1"/>
    <col min="3789" max="3789" width="11.5703125" style="148" customWidth="1"/>
    <col min="3790" max="3790" width="12.42578125" style="148" bestFit="1" customWidth="1"/>
    <col min="3791" max="4019" width="9.140625" style="148"/>
    <col min="4020" max="4020" width="49.42578125" style="148" customWidth="1"/>
    <col min="4021" max="4021" width="13.85546875" style="148" bestFit="1" customWidth="1"/>
    <col min="4022" max="4022" width="13.85546875" style="148" customWidth="1"/>
    <col min="4023" max="4023" width="9.5703125" style="148" bestFit="1" customWidth="1"/>
    <col min="4024" max="4024" width="12.140625" style="148" bestFit="1" customWidth="1"/>
    <col min="4025" max="4025" width="13.42578125" style="148" customWidth="1"/>
    <col min="4026" max="4026" width="13.28515625" style="148" customWidth="1"/>
    <col min="4027" max="4027" width="12.28515625" style="148" customWidth="1"/>
    <col min="4028" max="4028" width="11.7109375" style="148" bestFit="1" customWidth="1"/>
    <col min="4029" max="4029" width="9.7109375" style="148" bestFit="1" customWidth="1"/>
    <col min="4030" max="4030" width="11.85546875" style="148" customWidth="1"/>
    <col min="4031" max="4031" width="13.28515625" style="148" customWidth="1"/>
    <col min="4032" max="4032" width="12.85546875" style="148" customWidth="1"/>
    <col min="4033" max="4033" width="36" style="148" customWidth="1"/>
    <col min="4034" max="4034" width="11" style="148" customWidth="1"/>
    <col min="4035" max="4035" width="12" style="148" customWidth="1"/>
    <col min="4036" max="4036" width="9.140625" style="148"/>
    <col min="4037" max="4037" width="12.28515625" style="148" customWidth="1"/>
    <col min="4038" max="4038" width="10.140625" style="148" bestFit="1" customWidth="1"/>
    <col min="4039" max="4039" width="12" style="148" customWidth="1"/>
    <col min="4040" max="4040" width="12.5703125" style="148" bestFit="1" customWidth="1"/>
    <col min="4041" max="4041" width="10.42578125" style="148" customWidth="1"/>
    <col min="4042" max="4042" width="9.140625" style="148"/>
    <col min="4043" max="4043" width="11.5703125" style="148" customWidth="1"/>
    <col min="4044" max="4044" width="11.42578125" style="148" customWidth="1"/>
    <col min="4045" max="4045" width="11.5703125" style="148" customWidth="1"/>
    <col min="4046" max="4046" width="12.42578125" style="148" bestFit="1" customWidth="1"/>
    <col min="4047" max="4275" width="9.140625" style="148"/>
    <col min="4276" max="4276" width="49.42578125" style="148" customWidth="1"/>
    <col min="4277" max="4277" width="13.85546875" style="148" bestFit="1" customWidth="1"/>
    <col min="4278" max="4278" width="13.85546875" style="148" customWidth="1"/>
    <col min="4279" max="4279" width="9.5703125" style="148" bestFit="1" customWidth="1"/>
    <col min="4280" max="4280" width="12.140625" style="148" bestFit="1" customWidth="1"/>
    <col min="4281" max="4281" width="13.42578125" style="148" customWidth="1"/>
    <col min="4282" max="4282" width="13.28515625" style="148" customWidth="1"/>
    <col min="4283" max="4283" width="12.28515625" style="148" customWidth="1"/>
    <col min="4284" max="4284" width="11.7109375" style="148" bestFit="1" customWidth="1"/>
    <col min="4285" max="4285" width="9.7109375" style="148" bestFit="1" customWidth="1"/>
    <col min="4286" max="4286" width="11.85546875" style="148" customWidth="1"/>
    <col min="4287" max="4287" width="13.28515625" style="148" customWidth="1"/>
    <col min="4288" max="4288" width="12.85546875" style="148" customWidth="1"/>
    <col min="4289" max="4289" width="36" style="148" customWidth="1"/>
    <col min="4290" max="4290" width="11" style="148" customWidth="1"/>
    <col min="4291" max="4291" width="12" style="148" customWidth="1"/>
    <col min="4292" max="4292" width="9.140625" style="148"/>
    <col min="4293" max="4293" width="12.28515625" style="148" customWidth="1"/>
    <col min="4294" max="4294" width="10.140625" style="148" bestFit="1" customWidth="1"/>
    <col min="4295" max="4295" width="12" style="148" customWidth="1"/>
    <col min="4296" max="4296" width="12.5703125" style="148" bestFit="1" customWidth="1"/>
    <col min="4297" max="4297" width="10.42578125" style="148" customWidth="1"/>
    <col min="4298" max="4298" width="9.140625" style="148"/>
    <col min="4299" max="4299" width="11.5703125" style="148" customWidth="1"/>
    <col min="4300" max="4300" width="11.42578125" style="148" customWidth="1"/>
    <col min="4301" max="4301" width="11.5703125" style="148" customWidth="1"/>
    <col min="4302" max="4302" width="12.42578125" style="148" bestFit="1" customWidth="1"/>
    <col min="4303" max="4531" width="9.140625" style="148"/>
    <col min="4532" max="4532" width="49.42578125" style="148" customWidth="1"/>
    <col min="4533" max="4533" width="13.85546875" style="148" bestFit="1" customWidth="1"/>
    <col min="4534" max="4534" width="13.85546875" style="148" customWidth="1"/>
    <col min="4535" max="4535" width="9.5703125" style="148" bestFit="1" customWidth="1"/>
    <col min="4536" max="4536" width="12.140625" style="148" bestFit="1" customWidth="1"/>
    <col min="4537" max="4537" width="13.42578125" style="148" customWidth="1"/>
    <col min="4538" max="4538" width="13.28515625" style="148" customWidth="1"/>
    <col min="4539" max="4539" width="12.28515625" style="148" customWidth="1"/>
    <col min="4540" max="4540" width="11.7109375" style="148" bestFit="1" customWidth="1"/>
    <col min="4541" max="4541" width="9.7109375" style="148" bestFit="1" customWidth="1"/>
    <col min="4542" max="4542" width="11.85546875" style="148" customWidth="1"/>
    <col min="4543" max="4543" width="13.28515625" style="148" customWidth="1"/>
    <col min="4544" max="4544" width="12.85546875" style="148" customWidth="1"/>
    <col min="4545" max="4545" width="36" style="148" customWidth="1"/>
    <col min="4546" max="4546" width="11" style="148" customWidth="1"/>
    <col min="4547" max="4547" width="12" style="148" customWidth="1"/>
    <col min="4548" max="4548" width="9.140625" style="148"/>
    <col min="4549" max="4549" width="12.28515625" style="148" customWidth="1"/>
    <col min="4550" max="4550" width="10.140625" style="148" bestFit="1" customWidth="1"/>
    <col min="4551" max="4551" width="12" style="148" customWidth="1"/>
    <col min="4552" max="4552" width="12.5703125" style="148" bestFit="1" customWidth="1"/>
    <col min="4553" max="4553" width="10.42578125" style="148" customWidth="1"/>
    <col min="4554" max="4554" width="9.140625" style="148"/>
    <col min="4555" max="4555" width="11.5703125" style="148" customWidth="1"/>
    <col min="4556" max="4556" width="11.42578125" style="148" customWidth="1"/>
    <col min="4557" max="4557" width="11.5703125" style="148" customWidth="1"/>
    <col min="4558" max="4558" width="12.42578125" style="148" bestFit="1" customWidth="1"/>
    <col min="4559" max="4787" width="9.140625" style="148"/>
    <col min="4788" max="4788" width="49.42578125" style="148" customWidth="1"/>
    <col min="4789" max="4789" width="13.85546875" style="148" bestFit="1" customWidth="1"/>
    <col min="4790" max="4790" width="13.85546875" style="148" customWidth="1"/>
    <col min="4791" max="4791" width="9.5703125" style="148" bestFit="1" customWidth="1"/>
    <col min="4792" max="4792" width="12.140625" style="148" bestFit="1" customWidth="1"/>
    <col min="4793" max="4793" width="13.42578125" style="148" customWidth="1"/>
    <col min="4794" max="4794" width="13.28515625" style="148" customWidth="1"/>
    <col min="4795" max="4795" width="12.28515625" style="148" customWidth="1"/>
    <col min="4796" max="4796" width="11.7109375" style="148" bestFit="1" customWidth="1"/>
    <col min="4797" max="4797" width="9.7109375" style="148" bestFit="1" customWidth="1"/>
    <col min="4798" max="4798" width="11.85546875" style="148" customWidth="1"/>
    <col min="4799" max="4799" width="13.28515625" style="148" customWidth="1"/>
    <col min="4800" max="4800" width="12.85546875" style="148" customWidth="1"/>
    <col min="4801" max="4801" width="36" style="148" customWidth="1"/>
    <col min="4802" max="4802" width="11" style="148" customWidth="1"/>
    <col min="4803" max="4803" width="12" style="148" customWidth="1"/>
    <col min="4804" max="4804" width="9.140625" style="148"/>
    <col min="4805" max="4805" width="12.28515625" style="148" customWidth="1"/>
    <col min="4806" max="4806" width="10.140625" style="148" bestFit="1" customWidth="1"/>
    <col min="4807" max="4807" width="12" style="148" customWidth="1"/>
    <col min="4808" max="4808" width="12.5703125" style="148" bestFit="1" customWidth="1"/>
    <col min="4809" max="4809" width="10.42578125" style="148" customWidth="1"/>
    <col min="4810" max="4810" width="9.140625" style="148"/>
    <col min="4811" max="4811" width="11.5703125" style="148" customWidth="1"/>
    <col min="4812" max="4812" width="11.42578125" style="148" customWidth="1"/>
    <col min="4813" max="4813" width="11.5703125" style="148" customWidth="1"/>
    <col min="4814" max="4814" width="12.42578125" style="148" bestFit="1" customWidth="1"/>
    <col min="4815" max="5043" width="9.140625" style="148"/>
    <col min="5044" max="5044" width="49.42578125" style="148" customWidth="1"/>
    <col min="5045" max="5045" width="13.85546875" style="148" bestFit="1" customWidth="1"/>
    <col min="5046" max="5046" width="13.85546875" style="148" customWidth="1"/>
    <col min="5047" max="5047" width="9.5703125" style="148" bestFit="1" customWidth="1"/>
    <col min="5048" max="5048" width="12.140625" style="148" bestFit="1" customWidth="1"/>
    <col min="5049" max="5049" width="13.42578125" style="148" customWidth="1"/>
    <col min="5050" max="5050" width="13.28515625" style="148" customWidth="1"/>
    <col min="5051" max="5051" width="12.28515625" style="148" customWidth="1"/>
    <col min="5052" max="5052" width="11.7109375" style="148" bestFit="1" customWidth="1"/>
    <col min="5053" max="5053" width="9.7109375" style="148" bestFit="1" customWidth="1"/>
    <col min="5054" max="5054" width="11.85546875" style="148" customWidth="1"/>
    <col min="5055" max="5055" width="13.28515625" style="148" customWidth="1"/>
    <col min="5056" max="5056" width="12.85546875" style="148" customWidth="1"/>
    <col min="5057" max="5057" width="36" style="148" customWidth="1"/>
    <col min="5058" max="5058" width="11" style="148" customWidth="1"/>
    <col min="5059" max="5059" width="12" style="148" customWidth="1"/>
    <col min="5060" max="5060" width="9.140625" style="148"/>
    <col min="5061" max="5061" width="12.28515625" style="148" customWidth="1"/>
    <col min="5062" max="5062" width="10.140625" style="148" bestFit="1" customWidth="1"/>
    <col min="5063" max="5063" width="12" style="148" customWidth="1"/>
    <col min="5064" max="5064" width="12.5703125" style="148" bestFit="1" customWidth="1"/>
    <col min="5065" max="5065" width="10.42578125" style="148" customWidth="1"/>
    <col min="5066" max="5066" width="9.140625" style="148"/>
    <col min="5067" max="5067" width="11.5703125" style="148" customWidth="1"/>
    <col min="5068" max="5068" width="11.42578125" style="148" customWidth="1"/>
    <col min="5069" max="5069" width="11.5703125" style="148" customWidth="1"/>
    <col min="5070" max="5070" width="12.42578125" style="148" bestFit="1" customWidth="1"/>
    <col min="5071" max="5299" width="9.140625" style="148"/>
    <col min="5300" max="5300" width="49.42578125" style="148" customWidth="1"/>
    <col min="5301" max="5301" width="13.85546875" style="148" bestFit="1" customWidth="1"/>
    <col min="5302" max="5302" width="13.85546875" style="148" customWidth="1"/>
    <col min="5303" max="5303" width="9.5703125" style="148" bestFit="1" customWidth="1"/>
    <col min="5304" max="5304" width="12.140625" style="148" bestFit="1" customWidth="1"/>
    <col min="5305" max="5305" width="13.42578125" style="148" customWidth="1"/>
    <col min="5306" max="5306" width="13.28515625" style="148" customWidth="1"/>
    <col min="5307" max="5307" width="12.28515625" style="148" customWidth="1"/>
    <col min="5308" max="5308" width="11.7109375" style="148" bestFit="1" customWidth="1"/>
    <col min="5309" max="5309" width="9.7109375" style="148" bestFit="1" customWidth="1"/>
    <col min="5310" max="5310" width="11.85546875" style="148" customWidth="1"/>
    <col min="5311" max="5311" width="13.28515625" style="148" customWidth="1"/>
    <col min="5312" max="5312" width="12.85546875" style="148" customWidth="1"/>
    <col min="5313" max="5313" width="36" style="148" customWidth="1"/>
    <col min="5314" max="5314" width="11" style="148" customWidth="1"/>
    <col min="5315" max="5315" width="12" style="148" customWidth="1"/>
    <col min="5316" max="5316" width="9.140625" style="148"/>
    <col min="5317" max="5317" width="12.28515625" style="148" customWidth="1"/>
    <col min="5318" max="5318" width="10.140625" style="148" bestFit="1" customWidth="1"/>
    <col min="5319" max="5319" width="12" style="148" customWidth="1"/>
    <col min="5320" max="5320" width="12.5703125" style="148" bestFit="1" customWidth="1"/>
    <col min="5321" max="5321" width="10.42578125" style="148" customWidth="1"/>
    <col min="5322" max="5322" width="9.140625" style="148"/>
    <col min="5323" max="5323" width="11.5703125" style="148" customWidth="1"/>
    <col min="5324" max="5324" width="11.42578125" style="148" customWidth="1"/>
    <col min="5325" max="5325" width="11.5703125" style="148" customWidth="1"/>
    <col min="5326" max="5326" width="12.42578125" style="148" bestFit="1" customWidth="1"/>
    <col min="5327" max="5555" width="9.140625" style="148"/>
    <col min="5556" max="5556" width="49.42578125" style="148" customWidth="1"/>
    <col min="5557" max="5557" width="13.85546875" style="148" bestFit="1" customWidth="1"/>
    <col min="5558" max="5558" width="13.85546875" style="148" customWidth="1"/>
    <col min="5559" max="5559" width="9.5703125" style="148" bestFit="1" customWidth="1"/>
    <col min="5560" max="5560" width="12.140625" style="148" bestFit="1" customWidth="1"/>
    <col min="5561" max="5561" width="13.42578125" style="148" customWidth="1"/>
    <col min="5562" max="5562" width="13.28515625" style="148" customWidth="1"/>
    <col min="5563" max="5563" width="12.28515625" style="148" customWidth="1"/>
    <col min="5564" max="5564" width="11.7109375" style="148" bestFit="1" customWidth="1"/>
    <col min="5565" max="5565" width="9.7109375" style="148" bestFit="1" customWidth="1"/>
    <col min="5566" max="5566" width="11.85546875" style="148" customWidth="1"/>
    <col min="5567" max="5567" width="13.28515625" style="148" customWidth="1"/>
    <col min="5568" max="5568" width="12.85546875" style="148" customWidth="1"/>
    <col min="5569" max="5569" width="36" style="148" customWidth="1"/>
    <col min="5570" max="5570" width="11" style="148" customWidth="1"/>
    <col min="5571" max="5571" width="12" style="148" customWidth="1"/>
    <col min="5572" max="5572" width="9.140625" style="148"/>
    <col min="5573" max="5573" width="12.28515625" style="148" customWidth="1"/>
    <col min="5574" max="5574" width="10.140625" style="148" bestFit="1" customWidth="1"/>
    <col min="5575" max="5575" width="12" style="148" customWidth="1"/>
    <col min="5576" max="5576" width="12.5703125" style="148" bestFit="1" customWidth="1"/>
    <col min="5577" max="5577" width="10.42578125" style="148" customWidth="1"/>
    <col min="5578" max="5578" width="9.140625" style="148"/>
    <col min="5579" max="5579" width="11.5703125" style="148" customWidth="1"/>
    <col min="5580" max="5580" width="11.42578125" style="148" customWidth="1"/>
    <col min="5581" max="5581" width="11.5703125" style="148" customWidth="1"/>
    <col min="5582" max="5582" width="12.42578125" style="148" bestFit="1" customWidth="1"/>
    <col min="5583" max="5811" width="9.140625" style="148"/>
    <col min="5812" max="5812" width="49.42578125" style="148" customWidth="1"/>
    <col min="5813" max="5813" width="13.85546875" style="148" bestFit="1" customWidth="1"/>
    <col min="5814" max="5814" width="13.85546875" style="148" customWidth="1"/>
    <col min="5815" max="5815" width="9.5703125" style="148" bestFit="1" customWidth="1"/>
    <col min="5816" max="5816" width="12.140625" style="148" bestFit="1" customWidth="1"/>
    <col min="5817" max="5817" width="13.42578125" style="148" customWidth="1"/>
    <col min="5818" max="5818" width="13.28515625" style="148" customWidth="1"/>
    <col min="5819" max="5819" width="12.28515625" style="148" customWidth="1"/>
    <col min="5820" max="5820" width="11.7109375" style="148" bestFit="1" customWidth="1"/>
    <col min="5821" max="5821" width="9.7109375" style="148" bestFit="1" customWidth="1"/>
    <col min="5822" max="5822" width="11.85546875" style="148" customWidth="1"/>
    <col min="5823" max="5823" width="13.28515625" style="148" customWidth="1"/>
    <col min="5824" max="5824" width="12.85546875" style="148" customWidth="1"/>
    <col min="5825" max="5825" width="36" style="148" customWidth="1"/>
    <col min="5826" max="5826" width="11" style="148" customWidth="1"/>
    <col min="5827" max="5827" width="12" style="148" customWidth="1"/>
    <col min="5828" max="5828" width="9.140625" style="148"/>
    <col min="5829" max="5829" width="12.28515625" style="148" customWidth="1"/>
    <col min="5830" max="5830" width="10.140625" style="148" bestFit="1" customWidth="1"/>
    <col min="5831" max="5831" width="12" style="148" customWidth="1"/>
    <col min="5832" max="5832" width="12.5703125" style="148" bestFit="1" customWidth="1"/>
    <col min="5833" max="5833" width="10.42578125" style="148" customWidth="1"/>
    <col min="5834" max="5834" width="9.140625" style="148"/>
    <col min="5835" max="5835" width="11.5703125" style="148" customWidth="1"/>
    <col min="5836" max="5836" width="11.42578125" style="148" customWidth="1"/>
    <col min="5837" max="5837" width="11.5703125" style="148" customWidth="1"/>
    <col min="5838" max="5838" width="12.42578125" style="148" bestFit="1" customWidth="1"/>
    <col min="5839" max="6067" width="9.140625" style="148"/>
    <col min="6068" max="6068" width="49.42578125" style="148" customWidth="1"/>
    <col min="6069" max="6069" width="13.85546875" style="148" bestFit="1" customWidth="1"/>
    <col min="6070" max="6070" width="13.85546875" style="148" customWidth="1"/>
    <col min="6071" max="6071" width="9.5703125" style="148" bestFit="1" customWidth="1"/>
    <col min="6072" max="6072" width="12.140625" style="148" bestFit="1" customWidth="1"/>
    <col min="6073" max="6073" width="13.42578125" style="148" customWidth="1"/>
    <col min="6074" max="6074" width="13.28515625" style="148" customWidth="1"/>
    <col min="6075" max="6075" width="12.28515625" style="148" customWidth="1"/>
    <col min="6076" max="6076" width="11.7109375" style="148" bestFit="1" customWidth="1"/>
    <col min="6077" max="6077" width="9.7109375" style="148" bestFit="1" customWidth="1"/>
    <col min="6078" max="6078" width="11.85546875" style="148" customWidth="1"/>
    <col min="6079" max="6079" width="13.28515625" style="148" customWidth="1"/>
    <col min="6080" max="6080" width="12.85546875" style="148" customWidth="1"/>
    <col min="6081" max="6081" width="36" style="148" customWidth="1"/>
    <col min="6082" max="6082" width="11" style="148" customWidth="1"/>
    <col min="6083" max="6083" width="12" style="148" customWidth="1"/>
    <col min="6084" max="6084" width="9.140625" style="148"/>
    <col min="6085" max="6085" width="12.28515625" style="148" customWidth="1"/>
    <col min="6086" max="6086" width="10.140625" style="148" bestFit="1" customWidth="1"/>
    <col min="6087" max="6087" width="12" style="148" customWidth="1"/>
    <col min="6088" max="6088" width="12.5703125" style="148" bestFit="1" customWidth="1"/>
    <col min="6089" max="6089" width="10.42578125" style="148" customWidth="1"/>
    <col min="6090" max="6090" width="9.140625" style="148"/>
    <col min="6091" max="6091" width="11.5703125" style="148" customWidth="1"/>
    <col min="6092" max="6092" width="11.42578125" style="148" customWidth="1"/>
    <col min="6093" max="6093" width="11.5703125" style="148" customWidth="1"/>
    <col min="6094" max="6094" width="12.42578125" style="148" bestFit="1" customWidth="1"/>
    <col min="6095" max="6323" width="9.140625" style="148"/>
    <col min="6324" max="6324" width="49.42578125" style="148" customWidth="1"/>
    <col min="6325" max="6325" width="13.85546875" style="148" bestFit="1" customWidth="1"/>
    <col min="6326" max="6326" width="13.85546875" style="148" customWidth="1"/>
    <col min="6327" max="6327" width="9.5703125" style="148" bestFit="1" customWidth="1"/>
    <col min="6328" max="6328" width="12.140625" style="148" bestFit="1" customWidth="1"/>
    <col min="6329" max="6329" width="13.42578125" style="148" customWidth="1"/>
    <col min="6330" max="6330" width="13.28515625" style="148" customWidth="1"/>
    <col min="6331" max="6331" width="12.28515625" style="148" customWidth="1"/>
    <col min="6332" max="6332" width="11.7109375" style="148" bestFit="1" customWidth="1"/>
    <col min="6333" max="6333" width="9.7109375" style="148" bestFit="1" customWidth="1"/>
    <col min="6334" max="6334" width="11.85546875" style="148" customWidth="1"/>
    <col min="6335" max="6335" width="13.28515625" style="148" customWidth="1"/>
    <col min="6336" max="6336" width="12.85546875" style="148" customWidth="1"/>
    <col min="6337" max="6337" width="36" style="148" customWidth="1"/>
    <col min="6338" max="6338" width="11" style="148" customWidth="1"/>
    <col min="6339" max="6339" width="12" style="148" customWidth="1"/>
    <col min="6340" max="6340" width="9.140625" style="148"/>
    <col min="6341" max="6341" width="12.28515625" style="148" customWidth="1"/>
    <col min="6342" max="6342" width="10.140625" style="148" bestFit="1" customWidth="1"/>
    <col min="6343" max="6343" width="12" style="148" customWidth="1"/>
    <col min="6344" max="6344" width="12.5703125" style="148" bestFit="1" customWidth="1"/>
    <col min="6345" max="6345" width="10.42578125" style="148" customWidth="1"/>
    <col min="6346" max="6346" width="9.140625" style="148"/>
    <col min="6347" max="6347" width="11.5703125" style="148" customWidth="1"/>
    <col min="6348" max="6348" width="11.42578125" style="148" customWidth="1"/>
    <col min="6349" max="6349" width="11.5703125" style="148" customWidth="1"/>
    <col min="6350" max="6350" width="12.42578125" style="148" bestFit="1" customWidth="1"/>
    <col min="6351" max="6579" width="9.140625" style="148"/>
    <col min="6580" max="6580" width="49.42578125" style="148" customWidth="1"/>
    <col min="6581" max="6581" width="13.85546875" style="148" bestFit="1" customWidth="1"/>
    <col min="6582" max="6582" width="13.85546875" style="148" customWidth="1"/>
    <col min="6583" max="6583" width="9.5703125" style="148" bestFit="1" customWidth="1"/>
    <col min="6584" max="6584" width="12.140625" style="148" bestFit="1" customWidth="1"/>
    <col min="6585" max="6585" width="13.42578125" style="148" customWidth="1"/>
    <col min="6586" max="6586" width="13.28515625" style="148" customWidth="1"/>
    <col min="6587" max="6587" width="12.28515625" style="148" customWidth="1"/>
    <col min="6588" max="6588" width="11.7109375" style="148" bestFit="1" customWidth="1"/>
    <col min="6589" max="6589" width="9.7109375" style="148" bestFit="1" customWidth="1"/>
    <col min="6590" max="6590" width="11.85546875" style="148" customWidth="1"/>
    <col min="6591" max="6591" width="13.28515625" style="148" customWidth="1"/>
    <col min="6592" max="6592" width="12.85546875" style="148" customWidth="1"/>
    <col min="6593" max="6593" width="36" style="148" customWidth="1"/>
    <col min="6594" max="6594" width="11" style="148" customWidth="1"/>
    <col min="6595" max="6595" width="12" style="148" customWidth="1"/>
    <col min="6596" max="6596" width="9.140625" style="148"/>
    <col min="6597" max="6597" width="12.28515625" style="148" customWidth="1"/>
    <col min="6598" max="6598" width="10.140625" style="148" bestFit="1" customWidth="1"/>
    <col min="6599" max="6599" width="12" style="148" customWidth="1"/>
    <col min="6600" max="6600" width="12.5703125" style="148" bestFit="1" customWidth="1"/>
    <col min="6601" max="6601" width="10.42578125" style="148" customWidth="1"/>
    <col min="6602" max="6602" width="9.140625" style="148"/>
    <col min="6603" max="6603" width="11.5703125" style="148" customWidth="1"/>
    <col min="6604" max="6604" width="11.42578125" style="148" customWidth="1"/>
    <col min="6605" max="6605" width="11.5703125" style="148" customWidth="1"/>
    <col min="6606" max="6606" width="12.42578125" style="148" bestFit="1" customWidth="1"/>
    <col min="6607" max="6835" width="9.140625" style="148"/>
    <col min="6836" max="6836" width="49.42578125" style="148" customWidth="1"/>
    <col min="6837" max="6837" width="13.85546875" style="148" bestFit="1" customWidth="1"/>
    <col min="6838" max="6838" width="13.85546875" style="148" customWidth="1"/>
    <col min="6839" max="6839" width="9.5703125" style="148" bestFit="1" customWidth="1"/>
    <col min="6840" max="6840" width="12.140625" style="148" bestFit="1" customWidth="1"/>
    <col min="6841" max="6841" width="13.42578125" style="148" customWidth="1"/>
    <col min="6842" max="6842" width="13.28515625" style="148" customWidth="1"/>
    <col min="6843" max="6843" width="12.28515625" style="148" customWidth="1"/>
    <col min="6844" max="6844" width="11.7109375" style="148" bestFit="1" customWidth="1"/>
    <col min="6845" max="6845" width="9.7109375" style="148" bestFit="1" customWidth="1"/>
    <col min="6846" max="6846" width="11.85546875" style="148" customWidth="1"/>
    <col min="6847" max="6847" width="13.28515625" style="148" customWidth="1"/>
    <col min="6848" max="6848" width="12.85546875" style="148" customWidth="1"/>
    <col min="6849" max="6849" width="36" style="148" customWidth="1"/>
    <col min="6850" max="6850" width="11" style="148" customWidth="1"/>
    <col min="6851" max="6851" width="12" style="148" customWidth="1"/>
    <col min="6852" max="6852" width="9.140625" style="148"/>
    <col min="6853" max="6853" width="12.28515625" style="148" customWidth="1"/>
    <col min="6854" max="6854" width="10.140625" style="148" bestFit="1" customWidth="1"/>
    <col min="6855" max="6855" width="12" style="148" customWidth="1"/>
    <col min="6856" max="6856" width="12.5703125" style="148" bestFit="1" customWidth="1"/>
    <col min="6857" max="6857" width="10.42578125" style="148" customWidth="1"/>
    <col min="6858" max="6858" width="9.140625" style="148"/>
    <col min="6859" max="6859" width="11.5703125" style="148" customWidth="1"/>
    <col min="6860" max="6860" width="11.42578125" style="148" customWidth="1"/>
    <col min="6861" max="6861" width="11.5703125" style="148" customWidth="1"/>
    <col min="6862" max="6862" width="12.42578125" style="148" bestFit="1" customWidth="1"/>
    <col min="6863" max="7091" width="9.140625" style="148"/>
    <col min="7092" max="7092" width="49.42578125" style="148" customWidth="1"/>
    <col min="7093" max="7093" width="13.85546875" style="148" bestFit="1" customWidth="1"/>
    <col min="7094" max="7094" width="13.85546875" style="148" customWidth="1"/>
    <col min="7095" max="7095" width="9.5703125" style="148" bestFit="1" customWidth="1"/>
    <col min="7096" max="7096" width="12.140625" style="148" bestFit="1" customWidth="1"/>
    <col min="7097" max="7097" width="13.42578125" style="148" customWidth="1"/>
    <col min="7098" max="7098" width="13.28515625" style="148" customWidth="1"/>
    <col min="7099" max="7099" width="12.28515625" style="148" customWidth="1"/>
    <col min="7100" max="7100" width="11.7109375" style="148" bestFit="1" customWidth="1"/>
    <col min="7101" max="7101" width="9.7109375" style="148" bestFit="1" customWidth="1"/>
    <col min="7102" max="7102" width="11.85546875" style="148" customWidth="1"/>
    <col min="7103" max="7103" width="13.28515625" style="148" customWidth="1"/>
    <col min="7104" max="7104" width="12.85546875" style="148" customWidth="1"/>
    <col min="7105" max="7105" width="36" style="148" customWidth="1"/>
    <col min="7106" max="7106" width="11" style="148" customWidth="1"/>
    <col min="7107" max="7107" width="12" style="148" customWidth="1"/>
    <col min="7108" max="7108" width="9.140625" style="148"/>
    <col min="7109" max="7109" width="12.28515625" style="148" customWidth="1"/>
    <col min="7110" max="7110" width="10.140625" style="148" bestFit="1" customWidth="1"/>
    <col min="7111" max="7111" width="12" style="148" customWidth="1"/>
    <col min="7112" max="7112" width="12.5703125" style="148" bestFit="1" customWidth="1"/>
    <col min="7113" max="7113" width="10.42578125" style="148" customWidth="1"/>
    <col min="7114" max="7114" width="9.140625" style="148"/>
    <col min="7115" max="7115" width="11.5703125" style="148" customWidth="1"/>
    <col min="7116" max="7116" width="11.42578125" style="148" customWidth="1"/>
    <col min="7117" max="7117" width="11.5703125" style="148" customWidth="1"/>
    <col min="7118" max="7118" width="12.42578125" style="148" bestFit="1" customWidth="1"/>
    <col min="7119" max="7347" width="9.140625" style="148"/>
    <col min="7348" max="7348" width="49.42578125" style="148" customWidth="1"/>
    <col min="7349" max="7349" width="13.85546875" style="148" bestFit="1" customWidth="1"/>
    <col min="7350" max="7350" width="13.85546875" style="148" customWidth="1"/>
    <col min="7351" max="7351" width="9.5703125" style="148" bestFit="1" customWidth="1"/>
    <col min="7352" max="7352" width="12.140625" style="148" bestFit="1" customWidth="1"/>
    <col min="7353" max="7353" width="13.42578125" style="148" customWidth="1"/>
    <col min="7354" max="7354" width="13.28515625" style="148" customWidth="1"/>
    <col min="7355" max="7355" width="12.28515625" style="148" customWidth="1"/>
    <col min="7356" max="7356" width="11.7109375" style="148" bestFit="1" customWidth="1"/>
    <col min="7357" max="7357" width="9.7109375" style="148" bestFit="1" customWidth="1"/>
    <col min="7358" max="7358" width="11.85546875" style="148" customWidth="1"/>
    <col min="7359" max="7359" width="13.28515625" style="148" customWidth="1"/>
    <col min="7360" max="7360" width="12.85546875" style="148" customWidth="1"/>
    <col min="7361" max="7361" width="36" style="148" customWidth="1"/>
    <col min="7362" max="7362" width="11" style="148" customWidth="1"/>
    <col min="7363" max="7363" width="12" style="148" customWidth="1"/>
    <col min="7364" max="7364" width="9.140625" style="148"/>
    <col min="7365" max="7365" width="12.28515625" style="148" customWidth="1"/>
    <col min="7366" max="7366" width="10.140625" style="148" bestFit="1" customWidth="1"/>
    <col min="7367" max="7367" width="12" style="148" customWidth="1"/>
    <col min="7368" max="7368" width="12.5703125" style="148" bestFit="1" customWidth="1"/>
    <col min="7369" max="7369" width="10.42578125" style="148" customWidth="1"/>
    <col min="7370" max="7370" width="9.140625" style="148"/>
    <col min="7371" max="7371" width="11.5703125" style="148" customWidth="1"/>
    <col min="7372" max="7372" width="11.42578125" style="148" customWidth="1"/>
    <col min="7373" max="7373" width="11.5703125" style="148" customWidth="1"/>
    <col min="7374" max="7374" width="12.42578125" style="148" bestFit="1" customWidth="1"/>
    <col min="7375" max="7603" width="9.140625" style="148"/>
    <col min="7604" max="7604" width="49.42578125" style="148" customWidth="1"/>
    <col min="7605" max="7605" width="13.85546875" style="148" bestFit="1" customWidth="1"/>
    <col min="7606" max="7606" width="13.85546875" style="148" customWidth="1"/>
    <col min="7607" max="7607" width="9.5703125" style="148" bestFit="1" customWidth="1"/>
    <col min="7608" max="7608" width="12.140625" style="148" bestFit="1" customWidth="1"/>
    <col min="7609" max="7609" width="13.42578125" style="148" customWidth="1"/>
    <col min="7610" max="7610" width="13.28515625" style="148" customWidth="1"/>
    <col min="7611" max="7611" width="12.28515625" style="148" customWidth="1"/>
    <col min="7612" max="7612" width="11.7109375" style="148" bestFit="1" customWidth="1"/>
    <col min="7613" max="7613" width="9.7109375" style="148" bestFit="1" customWidth="1"/>
    <col min="7614" max="7614" width="11.85546875" style="148" customWidth="1"/>
    <col min="7615" max="7615" width="13.28515625" style="148" customWidth="1"/>
    <col min="7616" max="7616" width="12.85546875" style="148" customWidth="1"/>
    <col min="7617" max="7617" width="36" style="148" customWidth="1"/>
    <col min="7618" max="7618" width="11" style="148" customWidth="1"/>
    <col min="7619" max="7619" width="12" style="148" customWidth="1"/>
    <col min="7620" max="7620" width="9.140625" style="148"/>
    <col min="7621" max="7621" width="12.28515625" style="148" customWidth="1"/>
    <col min="7622" max="7622" width="10.140625" style="148" bestFit="1" customWidth="1"/>
    <col min="7623" max="7623" width="12" style="148" customWidth="1"/>
    <col min="7624" max="7624" width="12.5703125" style="148" bestFit="1" customWidth="1"/>
    <col min="7625" max="7625" width="10.42578125" style="148" customWidth="1"/>
    <col min="7626" max="7626" width="9.140625" style="148"/>
    <col min="7627" max="7627" width="11.5703125" style="148" customWidth="1"/>
    <col min="7628" max="7628" width="11.42578125" style="148" customWidth="1"/>
    <col min="7629" max="7629" width="11.5703125" style="148" customWidth="1"/>
    <col min="7630" max="7630" width="12.42578125" style="148" bestFit="1" customWidth="1"/>
    <col min="7631" max="7859" width="9.140625" style="148"/>
    <col min="7860" max="7860" width="49.42578125" style="148" customWidth="1"/>
    <col min="7861" max="7861" width="13.85546875" style="148" bestFit="1" customWidth="1"/>
    <col min="7862" max="7862" width="13.85546875" style="148" customWidth="1"/>
    <col min="7863" max="7863" width="9.5703125" style="148" bestFit="1" customWidth="1"/>
    <col min="7864" max="7864" width="12.140625" style="148" bestFit="1" customWidth="1"/>
    <col min="7865" max="7865" width="13.42578125" style="148" customWidth="1"/>
    <col min="7866" max="7866" width="13.28515625" style="148" customWidth="1"/>
    <col min="7867" max="7867" width="12.28515625" style="148" customWidth="1"/>
    <col min="7868" max="7868" width="11.7109375" style="148" bestFit="1" customWidth="1"/>
    <col min="7869" max="7869" width="9.7109375" style="148" bestFit="1" customWidth="1"/>
    <col min="7870" max="7870" width="11.85546875" style="148" customWidth="1"/>
    <col min="7871" max="7871" width="13.28515625" style="148" customWidth="1"/>
    <col min="7872" max="7872" width="12.85546875" style="148" customWidth="1"/>
    <col min="7873" max="7873" width="36" style="148" customWidth="1"/>
    <col min="7874" max="7874" width="11" style="148" customWidth="1"/>
    <col min="7875" max="7875" width="12" style="148" customWidth="1"/>
    <col min="7876" max="7876" width="9.140625" style="148"/>
    <col min="7877" max="7877" width="12.28515625" style="148" customWidth="1"/>
    <col min="7878" max="7878" width="10.140625" style="148" bestFit="1" customWidth="1"/>
    <col min="7879" max="7879" width="12" style="148" customWidth="1"/>
    <col min="7880" max="7880" width="12.5703125" style="148" bestFit="1" customWidth="1"/>
    <col min="7881" max="7881" width="10.42578125" style="148" customWidth="1"/>
    <col min="7882" max="7882" width="9.140625" style="148"/>
    <col min="7883" max="7883" width="11.5703125" style="148" customWidth="1"/>
    <col min="7884" max="7884" width="11.42578125" style="148" customWidth="1"/>
    <col min="7885" max="7885" width="11.5703125" style="148" customWidth="1"/>
    <col min="7886" max="7886" width="12.42578125" style="148" bestFit="1" customWidth="1"/>
    <col min="7887" max="8115" width="9.140625" style="148"/>
    <col min="8116" max="8116" width="49.42578125" style="148" customWidth="1"/>
    <col min="8117" max="8117" width="13.85546875" style="148" bestFit="1" customWidth="1"/>
    <col min="8118" max="8118" width="13.85546875" style="148" customWidth="1"/>
    <col min="8119" max="8119" width="9.5703125" style="148" bestFit="1" customWidth="1"/>
    <col min="8120" max="8120" width="12.140625" style="148" bestFit="1" customWidth="1"/>
    <col min="8121" max="8121" width="13.42578125" style="148" customWidth="1"/>
    <col min="8122" max="8122" width="13.28515625" style="148" customWidth="1"/>
    <col min="8123" max="8123" width="12.28515625" style="148" customWidth="1"/>
    <col min="8124" max="8124" width="11.7109375" style="148" bestFit="1" customWidth="1"/>
    <col min="8125" max="8125" width="9.7109375" style="148" bestFit="1" customWidth="1"/>
    <col min="8126" max="8126" width="11.85546875" style="148" customWidth="1"/>
    <col min="8127" max="8127" width="13.28515625" style="148" customWidth="1"/>
    <col min="8128" max="8128" width="12.85546875" style="148" customWidth="1"/>
    <col min="8129" max="8129" width="36" style="148" customWidth="1"/>
    <col min="8130" max="8130" width="11" style="148" customWidth="1"/>
    <col min="8131" max="8131" width="12" style="148" customWidth="1"/>
    <col min="8132" max="8132" width="9.140625" style="148"/>
    <col min="8133" max="8133" width="12.28515625" style="148" customWidth="1"/>
    <col min="8134" max="8134" width="10.140625" style="148" bestFit="1" customWidth="1"/>
    <col min="8135" max="8135" width="12" style="148" customWidth="1"/>
    <col min="8136" max="8136" width="12.5703125" style="148" bestFit="1" customWidth="1"/>
    <col min="8137" max="8137" width="10.42578125" style="148" customWidth="1"/>
    <col min="8138" max="8138" width="9.140625" style="148"/>
    <col min="8139" max="8139" width="11.5703125" style="148" customWidth="1"/>
    <col min="8140" max="8140" width="11.42578125" style="148" customWidth="1"/>
    <col min="8141" max="8141" width="11.5703125" style="148" customWidth="1"/>
    <col min="8142" max="8142" width="12.42578125" style="148" bestFit="1" customWidth="1"/>
    <col min="8143" max="8371" width="9.140625" style="148"/>
    <col min="8372" max="8372" width="49.42578125" style="148" customWidth="1"/>
    <col min="8373" max="8373" width="13.85546875" style="148" bestFit="1" customWidth="1"/>
    <col min="8374" max="8374" width="13.85546875" style="148" customWidth="1"/>
    <col min="8375" max="8375" width="9.5703125" style="148" bestFit="1" customWidth="1"/>
    <col min="8376" max="8376" width="12.140625" style="148" bestFit="1" customWidth="1"/>
    <col min="8377" max="8377" width="13.42578125" style="148" customWidth="1"/>
    <col min="8378" max="8378" width="13.28515625" style="148" customWidth="1"/>
    <col min="8379" max="8379" width="12.28515625" style="148" customWidth="1"/>
    <col min="8380" max="8380" width="11.7109375" style="148" bestFit="1" customWidth="1"/>
    <col min="8381" max="8381" width="9.7109375" style="148" bestFit="1" customWidth="1"/>
    <col min="8382" max="8382" width="11.85546875" style="148" customWidth="1"/>
    <col min="8383" max="8383" width="13.28515625" style="148" customWidth="1"/>
    <col min="8384" max="8384" width="12.85546875" style="148" customWidth="1"/>
    <col min="8385" max="8385" width="36" style="148" customWidth="1"/>
    <col min="8386" max="8386" width="11" style="148" customWidth="1"/>
    <col min="8387" max="8387" width="12" style="148" customWidth="1"/>
    <col min="8388" max="8388" width="9.140625" style="148"/>
    <col min="8389" max="8389" width="12.28515625" style="148" customWidth="1"/>
    <col min="8390" max="8390" width="10.140625" style="148" bestFit="1" customWidth="1"/>
    <col min="8391" max="8391" width="12" style="148" customWidth="1"/>
    <col min="8392" max="8392" width="12.5703125" style="148" bestFit="1" customWidth="1"/>
    <col min="8393" max="8393" width="10.42578125" style="148" customWidth="1"/>
    <col min="8394" max="8394" width="9.140625" style="148"/>
    <col min="8395" max="8395" width="11.5703125" style="148" customWidth="1"/>
    <col min="8396" max="8396" width="11.42578125" style="148" customWidth="1"/>
    <col min="8397" max="8397" width="11.5703125" style="148" customWidth="1"/>
    <col min="8398" max="8398" width="12.42578125" style="148" bestFit="1" customWidth="1"/>
    <col min="8399" max="8627" width="9.140625" style="148"/>
    <col min="8628" max="8628" width="49.42578125" style="148" customWidth="1"/>
    <col min="8629" max="8629" width="13.85546875" style="148" bestFit="1" customWidth="1"/>
    <col min="8630" max="8630" width="13.85546875" style="148" customWidth="1"/>
    <col min="8631" max="8631" width="9.5703125" style="148" bestFit="1" customWidth="1"/>
    <col min="8632" max="8632" width="12.140625" style="148" bestFit="1" customWidth="1"/>
    <col min="8633" max="8633" width="13.42578125" style="148" customWidth="1"/>
    <col min="8634" max="8634" width="13.28515625" style="148" customWidth="1"/>
    <col min="8635" max="8635" width="12.28515625" style="148" customWidth="1"/>
    <col min="8636" max="8636" width="11.7109375" style="148" bestFit="1" customWidth="1"/>
    <col min="8637" max="8637" width="9.7109375" style="148" bestFit="1" customWidth="1"/>
    <col min="8638" max="8638" width="11.85546875" style="148" customWidth="1"/>
    <col min="8639" max="8639" width="13.28515625" style="148" customWidth="1"/>
    <col min="8640" max="8640" width="12.85546875" style="148" customWidth="1"/>
    <col min="8641" max="8641" width="36" style="148" customWidth="1"/>
    <col min="8642" max="8642" width="11" style="148" customWidth="1"/>
    <col min="8643" max="8643" width="12" style="148" customWidth="1"/>
    <col min="8644" max="8644" width="9.140625" style="148"/>
    <col min="8645" max="8645" width="12.28515625" style="148" customWidth="1"/>
    <col min="8646" max="8646" width="10.140625" style="148" bestFit="1" customWidth="1"/>
    <col min="8647" max="8647" width="12" style="148" customWidth="1"/>
    <col min="8648" max="8648" width="12.5703125" style="148" bestFit="1" customWidth="1"/>
    <col min="8649" max="8649" width="10.42578125" style="148" customWidth="1"/>
    <col min="8650" max="8650" width="9.140625" style="148"/>
    <col min="8651" max="8651" width="11.5703125" style="148" customWidth="1"/>
    <col min="8652" max="8652" width="11.42578125" style="148" customWidth="1"/>
    <col min="8653" max="8653" width="11.5703125" style="148" customWidth="1"/>
    <col min="8654" max="8654" width="12.42578125" style="148" bestFit="1" customWidth="1"/>
    <col min="8655" max="8883" width="9.140625" style="148"/>
    <col min="8884" max="8884" width="49.42578125" style="148" customWidth="1"/>
    <col min="8885" max="8885" width="13.85546875" style="148" bestFit="1" customWidth="1"/>
    <col min="8886" max="8886" width="13.85546875" style="148" customWidth="1"/>
    <col min="8887" max="8887" width="9.5703125" style="148" bestFit="1" customWidth="1"/>
    <col min="8888" max="8888" width="12.140625" style="148" bestFit="1" customWidth="1"/>
    <col min="8889" max="8889" width="13.42578125" style="148" customWidth="1"/>
    <col min="8890" max="8890" width="13.28515625" style="148" customWidth="1"/>
    <col min="8891" max="8891" width="12.28515625" style="148" customWidth="1"/>
    <col min="8892" max="8892" width="11.7109375" style="148" bestFit="1" customWidth="1"/>
    <col min="8893" max="8893" width="9.7109375" style="148" bestFit="1" customWidth="1"/>
    <col min="8894" max="8894" width="11.85546875" style="148" customWidth="1"/>
    <col min="8895" max="8895" width="13.28515625" style="148" customWidth="1"/>
    <col min="8896" max="8896" width="12.85546875" style="148" customWidth="1"/>
    <col min="8897" max="8897" width="36" style="148" customWidth="1"/>
    <col min="8898" max="8898" width="11" style="148" customWidth="1"/>
    <col min="8899" max="8899" width="12" style="148" customWidth="1"/>
    <col min="8900" max="8900" width="9.140625" style="148"/>
    <col min="8901" max="8901" width="12.28515625" style="148" customWidth="1"/>
    <col min="8902" max="8902" width="10.140625" style="148" bestFit="1" customWidth="1"/>
    <col min="8903" max="8903" width="12" style="148" customWidth="1"/>
    <col min="8904" max="8904" width="12.5703125" style="148" bestFit="1" customWidth="1"/>
    <col min="8905" max="8905" width="10.42578125" style="148" customWidth="1"/>
    <col min="8906" max="8906" width="9.140625" style="148"/>
    <col min="8907" max="8907" width="11.5703125" style="148" customWidth="1"/>
    <col min="8908" max="8908" width="11.42578125" style="148" customWidth="1"/>
    <col min="8909" max="8909" width="11.5703125" style="148" customWidth="1"/>
    <col min="8910" max="8910" width="12.42578125" style="148" bestFit="1" customWidth="1"/>
    <col min="8911" max="9139" width="9.140625" style="148"/>
    <col min="9140" max="9140" width="49.42578125" style="148" customWidth="1"/>
    <col min="9141" max="9141" width="13.85546875" style="148" bestFit="1" customWidth="1"/>
    <col min="9142" max="9142" width="13.85546875" style="148" customWidth="1"/>
    <col min="9143" max="9143" width="9.5703125" style="148" bestFit="1" customWidth="1"/>
    <col min="9144" max="9144" width="12.140625" style="148" bestFit="1" customWidth="1"/>
    <col min="9145" max="9145" width="13.42578125" style="148" customWidth="1"/>
    <col min="9146" max="9146" width="13.28515625" style="148" customWidth="1"/>
    <col min="9147" max="9147" width="12.28515625" style="148" customWidth="1"/>
    <col min="9148" max="9148" width="11.7109375" style="148" bestFit="1" customWidth="1"/>
    <col min="9149" max="9149" width="9.7109375" style="148" bestFit="1" customWidth="1"/>
    <col min="9150" max="9150" width="11.85546875" style="148" customWidth="1"/>
    <col min="9151" max="9151" width="13.28515625" style="148" customWidth="1"/>
    <col min="9152" max="9152" width="12.85546875" style="148" customWidth="1"/>
    <col min="9153" max="9153" width="36" style="148" customWidth="1"/>
    <col min="9154" max="9154" width="11" style="148" customWidth="1"/>
    <col min="9155" max="9155" width="12" style="148" customWidth="1"/>
    <col min="9156" max="9156" width="9.140625" style="148"/>
    <col min="9157" max="9157" width="12.28515625" style="148" customWidth="1"/>
    <col min="9158" max="9158" width="10.140625" style="148" bestFit="1" customWidth="1"/>
    <col min="9159" max="9159" width="12" style="148" customWidth="1"/>
    <col min="9160" max="9160" width="12.5703125" style="148" bestFit="1" customWidth="1"/>
    <col min="9161" max="9161" width="10.42578125" style="148" customWidth="1"/>
    <col min="9162" max="9162" width="9.140625" style="148"/>
    <col min="9163" max="9163" width="11.5703125" style="148" customWidth="1"/>
    <col min="9164" max="9164" width="11.42578125" style="148" customWidth="1"/>
    <col min="9165" max="9165" width="11.5703125" style="148" customWidth="1"/>
    <col min="9166" max="9166" width="12.42578125" style="148" bestFit="1" customWidth="1"/>
    <col min="9167" max="9395" width="9.140625" style="148"/>
    <col min="9396" max="9396" width="49.42578125" style="148" customWidth="1"/>
    <col min="9397" max="9397" width="13.85546875" style="148" bestFit="1" customWidth="1"/>
    <col min="9398" max="9398" width="13.85546875" style="148" customWidth="1"/>
    <col min="9399" max="9399" width="9.5703125" style="148" bestFit="1" customWidth="1"/>
    <col min="9400" max="9400" width="12.140625" style="148" bestFit="1" customWidth="1"/>
    <col min="9401" max="9401" width="13.42578125" style="148" customWidth="1"/>
    <col min="9402" max="9402" width="13.28515625" style="148" customWidth="1"/>
    <col min="9403" max="9403" width="12.28515625" style="148" customWidth="1"/>
    <col min="9404" max="9404" width="11.7109375" style="148" bestFit="1" customWidth="1"/>
    <col min="9405" max="9405" width="9.7109375" style="148" bestFit="1" customWidth="1"/>
    <col min="9406" max="9406" width="11.85546875" style="148" customWidth="1"/>
    <col min="9407" max="9407" width="13.28515625" style="148" customWidth="1"/>
    <col min="9408" max="9408" width="12.85546875" style="148" customWidth="1"/>
    <col min="9409" max="9409" width="36" style="148" customWidth="1"/>
    <col min="9410" max="9410" width="11" style="148" customWidth="1"/>
    <col min="9411" max="9411" width="12" style="148" customWidth="1"/>
    <col min="9412" max="9412" width="9.140625" style="148"/>
    <col min="9413" max="9413" width="12.28515625" style="148" customWidth="1"/>
    <col min="9414" max="9414" width="10.140625" style="148" bestFit="1" customWidth="1"/>
    <col min="9415" max="9415" width="12" style="148" customWidth="1"/>
    <col min="9416" max="9416" width="12.5703125" style="148" bestFit="1" customWidth="1"/>
    <col min="9417" max="9417" width="10.42578125" style="148" customWidth="1"/>
    <col min="9418" max="9418" width="9.140625" style="148"/>
    <col min="9419" max="9419" width="11.5703125" style="148" customWidth="1"/>
    <col min="9420" max="9420" width="11.42578125" style="148" customWidth="1"/>
    <col min="9421" max="9421" width="11.5703125" style="148" customWidth="1"/>
    <col min="9422" max="9422" width="12.42578125" style="148" bestFit="1" customWidth="1"/>
    <col min="9423" max="9651" width="9.140625" style="148"/>
    <col min="9652" max="9652" width="49.42578125" style="148" customWidth="1"/>
    <col min="9653" max="9653" width="13.85546875" style="148" bestFit="1" customWidth="1"/>
    <col min="9654" max="9654" width="13.85546875" style="148" customWidth="1"/>
    <col min="9655" max="9655" width="9.5703125" style="148" bestFit="1" customWidth="1"/>
    <col min="9656" max="9656" width="12.140625" style="148" bestFit="1" customWidth="1"/>
    <col min="9657" max="9657" width="13.42578125" style="148" customWidth="1"/>
    <col min="9658" max="9658" width="13.28515625" style="148" customWidth="1"/>
    <col min="9659" max="9659" width="12.28515625" style="148" customWidth="1"/>
    <col min="9660" max="9660" width="11.7109375" style="148" bestFit="1" customWidth="1"/>
    <col min="9661" max="9661" width="9.7109375" style="148" bestFit="1" customWidth="1"/>
    <col min="9662" max="9662" width="11.85546875" style="148" customWidth="1"/>
    <col min="9663" max="9663" width="13.28515625" style="148" customWidth="1"/>
    <col min="9664" max="9664" width="12.85546875" style="148" customWidth="1"/>
    <col min="9665" max="9665" width="36" style="148" customWidth="1"/>
    <col min="9666" max="9666" width="11" style="148" customWidth="1"/>
    <col min="9667" max="9667" width="12" style="148" customWidth="1"/>
    <col min="9668" max="9668" width="9.140625" style="148"/>
    <col min="9669" max="9669" width="12.28515625" style="148" customWidth="1"/>
    <col min="9670" max="9670" width="10.140625" style="148" bestFit="1" customWidth="1"/>
    <col min="9671" max="9671" width="12" style="148" customWidth="1"/>
    <col min="9672" max="9672" width="12.5703125" style="148" bestFit="1" customWidth="1"/>
    <col min="9673" max="9673" width="10.42578125" style="148" customWidth="1"/>
    <col min="9674" max="9674" width="9.140625" style="148"/>
    <col min="9675" max="9675" width="11.5703125" style="148" customWidth="1"/>
    <col min="9676" max="9676" width="11.42578125" style="148" customWidth="1"/>
    <col min="9677" max="9677" width="11.5703125" style="148" customWidth="1"/>
    <col min="9678" max="9678" width="12.42578125" style="148" bestFit="1" customWidth="1"/>
    <col min="9679" max="9907" width="9.140625" style="148"/>
    <col min="9908" max="9908" width="49.42578125" style="148" customWidth="1"/>
    <col min="9909" max="9909" width="13.85546875" style="148" bestFit="1" customWidth="1"/>
    <col min="9910" max="9910" width="13.85546875" style="148" customWidth="1"/>
    <col min="9911" max="9911" width="9.5703125" style="148" bestFit="1" customWidth="1"/>
    <col min="9912" max="9912" width="12.140625" style="148" bestFit="1" customWidth="1"/>
    <col min="9913" max="9913" width="13.42578125" style="148" customWidth="1"/>
    <col min="9914" max="9914" width="13.28515625" style="148" customWidth="1"/>
    <col min="9915" max="9915" width="12.28515625" style="148" customWidth="1"/>
    <col min="9916" max="9916" width="11.7109375" style="148" bestFit="1" customWidth="1"/>
    <col min="9917" max="9917" width="9.7109375" style="148" bestFit="1" customWidth="1"/>
    <col min="9918" max="9918" width="11.85546875" style="148" customWidth="1"/>
    <col min="9919" max="9919" width="13.28515625" style="148" customWidth="1"/>
    <col min="9920" max="9920" width="12.85546875" style="148" customWidth="1"/>
    <col min="9921" max="9921" width="36" style="148" customWidth="1"/>
    <col min="9922" max="9922" width="11" style="148" customWidth="1"/>
    <col min="9923" max="9923" width="12" style="148" customWidth="1"/>
    <col min="9924" max="9924" width="9.140625" style="148"/>
    <col min="9925" max="9925" width="12.28515625" style="148" customWidth="1"/>
    <col min="9926" max="9926" width="10.140625" style="148" bestFit="1" customWidth="1"/>
    <col min="9927" max="9927" width="12" style="148" customWidth="1"/>
    <col min="9928" max="9928" width="12.5703125" style="148" bestFit="1" customWidth="1"/>
    <col min="9929" max="9929" width="10.42578125" style="148" customWidth="1"/>
    <col min="9930" max="9930" width="9.140625" style="148"/>
    <col min="9931" max="9931" width="11.5703125" style="148" customWidth="1"/>
    <col min="9932" max="9932" width="11.42578125" style="148" customWidth="1"/>
    <col min="9933" max="9933" width="11.5703125" style="148" customWidth="1"/>
    <col min="9934" max="9934" width="12.42578125" style="148" bestFit="1" customWidth="1"/>
    <col min="9935" max="10163" width="9.140625" style="148"/>
    <col min="10164" max="10164" width="49.42578125" style="148" customWidth="1"/>
    <col min="10165" max="10165" width="13.85546875" style="148" bestFit="1" customWidth="1"/>
    <col min="10166" max="10166" width="13.85546875" style="148" customWidth="1"/>
    <col min="10167" max="10167" width="9.5703125" style="148" bestFit="1" customWidth="1"/>
    <col min="10168" max="10168" width="12.140625" style="148" bestFit="1" customWidth="1"/>
    <col min="10169" max="10169" width="13.42578125" style="148" customWidth="1"/>
    <col min="10170" max="10170" width="13.28515625" style="148" customWidth="1"/>
    <col min="10171" max="10171" width="12.28515625" style="148" customWidth="1"/>
    <col min="10172" max="10172" width="11.7109375" style="148" bestFit="1" customWidth="1"/>
    <col min="10173" max="10173" width="9.7109375" style="148" bestFit="1" customWidth="1"/>
    <col min="10174" max="10174" width="11.85546875" style="148" customWidth="1"/>
    <col min="10175" max="10175" width="13.28515625" style="148" customWidth="1"/>
    <col min="10176" max="10176" width="12.85546875" style="148" customWidth="1"/>
    <col min="10177" max="10177" width="36" style="148" customWidth="1"/>
    <col min="10178" max="10178" width="11" style="148" customWidth="1"/>
    <col min="10179" max="10179" width="12" style="148" customWidth="1"/>
    <col min="10180" max="10180" width="9.140625" style="148"/>
    <col min="10181" max="10181" width="12.28515625" style="148" customWidth="1"/>
    <col min="10182" max="10182" width="10.140625" style="148" bestFit="1" customWidth="1"/>
    <col min="10183" max="10183" width="12" style="148" customWidth="1"/>
    <col min="10184" max="10184" width="12.5703125" style="148" bestFit="1" customWidth="1"/>
    <col min="10185" max="10185" width="10.42578125" style="148" customWidth="1"/>
    <col min="10186" max="10186" width="9.140625" style="148"/>
    <col min="10187" max="10187" width="11.5703125" style="148" customWidth="1"/>
    <col min="10188" max="10188" width="11.42578125" style="148" customWidth="1"/>
    <col min="10189" max="10189" width="11.5703125" style="148" customWidth="1"/>
    <col min="10190" max="10190" width="12.42578125" style="148" bestFit="1" customWidth="1"/>
    <col min="10191" max="10419" width="9.140625" style="148"/>
    <col min="10420" max="10420" width="49.42578125" style="148" customWidth="1"/>
    <col min="10421" max="10421" width="13.85546875" style="148" bestFit="1" customWidth="1"/>
    <col min="10422" max="10422" width="13.85546875" style="148" customWidth="1"/>
    <col min="10423" max="10423" width="9.5703125" style="148" bestFit="1" customWidth="1"/>
    <col min="10424" max="10424" width="12.140625" style="148" bestFit="1" customWidth="1"/>
    <col min="10425" max="10425" width="13.42578125" style="148" customWidth="1"/>
    <col min="10426" max="10426" width="13.28515625" style="148" customWidth="1"/>
    <col min="10427" max="10427" width="12.28515625" style="148" customWidth="1"/>
    <col min="10428" max="10428" width="11.7109375" style="148" bestFit="1" customWidth="1"/>
    <col min="10429" max="10429" width="9.7109375" style="148" bestFit="1" customWidth="1"/>
    <col min="10430" max="10430" width="11.85546875" style="148" customWidth="1"/>
    <col min="10431" max="10431" width="13.28515625" style="148" customWidth="1"/>
    <col min="10432" max="10432" width="12.85546875" style="148" customWidth="1"/>
    <col min="10433" max="10433" width="36" style="148" customWidth="1"/>
    <col min="10434" max="10434" width="11" style="148" customWidth="1"/>
    <col min="10435" max="10435" width="12" style="148" customWidth="1"/>
    <col min="10436" max="10436" width="9.140625" style="148"/>
    <col min="10437" max="10437" width="12.28515625" style="148" customWidth="1"/>
    <col min="10438" max="10438" width="10.140625" style="148" bestFit="1" customWidth="1"/>
    <col min="10439" max="10439" width="12" style="148" customWidth="1"/>
    <col min="10440" max="10440" width="12.5703125" style="148" bestFit="1" customWidth="1"/>
    <col min="10441" max="10441" width="10.42578125" style="148" customWidth="1"/>
    <col min="10442" max="10442" width="9.140625" style="148"/>
    <col min="10443" max="10443" width="11.5703125" style="148" customWidth="1"/>
    <col min="10444" max="10444" width="11.42578125" style="148" customWidth="1"/>
    <col min="10445" max="10445" width="11.5703125" style="148" customWidth="1"/>
    <col min="10446" max="10446" width="12.42578125" style="148" bestFit="1" customWidth="1"/>
    <col min="10447" max="10675" width="9.140625" style="148"/>
    <col min="10676" max="10676" width="49.42578125" style="148" customWidth="1"/>
    <col min="10677" max="10677" width="13.85546875" style="148" bestFit="1" customWidth="1"/>
    <col min="10678" max="10678" width="13.85546875" style="148" customWidth="1"/>
    <col min="10679" max="10679" width="9.5703125" style="148" bestFit="1" customWidth="1"/>
    <col min="10680" max="10680" width="12.140625" style="148" bestFit="1" customWidth="1"/>
    <col min="10681" max="10681" width="13.42578125" style="148" customWidth="1"/>
    <col min="10682" max="10682" width="13.28515625" style="148" customWidth="1"/>
    <col min="10683" max="10683" width="12.28515625" style="148" customWidth="1"/>
    <col min="10684" max="10684" width="11.7109375" style="148" bestFit="1" customWidth="1"/>
    <col min="10685" max="10685" width="9.7109375" style="148" bestFit="1" customWidth="1"/>
    <col min="10686" max="10686" width="11.85546875" style="148" customWidth="1"/>
    <col min="10687" max="10687" width="13.28515625" style="148" customWidth="1"/>
    <col min="10688" max="10688" width="12.85546875" style="148" customWidth="1"/>
    <col min="10689" max="10689" width="36" style="148" customWidth="1"/>
    <col min="10690" max="10690" width="11" style="148" customWidth="1"/>
    <col min="10691" max="10691" width="12" style="148" customWidth="1"/>
    <col min="10692" max="10692" width="9.140625" style="148"/>
    <col min="10693" max="10693" width="12.28515625" style="148" customWidth="1"/>
    <col min="10694" max="10694" width="10.140625" style="148" bestFit="1" customWidth="1"/>
    <col min="10695" max="10695" width="12" style="148" customWidth="1"/>
    <col min="10696" max="10696" width="12.5703125" style="148" bestFit="1" customWidth="1"/>
    <col min="10697" max="10697" width="10.42578125" style="148" customWidth="1"/>
    <col min="10698" max="10698" width="9.140625" style="148"/>
    <col min="10699" max="10699" width="11.5703125" style="148" customWidth="1"/>
    <col min="10700" max="10700" width="11.42578125" style="148" customWidth="1"/>
    <col min="10701" max="10701" width="11.5703125" style="148" customWidth="1"/>
    <col min="10702" max="10702" width="12.42578125" style="148" bestFit="1" customWidth="1"/>
    <col min="10703" max="10931" width="9.140625" style="148"/>
    <col min="10932" max="10932" width="49.42578125" style="148" customWidth="1"/>
    <col min="10933" max="10933" width="13.85546875" style="148" bestFit="1" customWidth="1"/>
    <col min="10934" max="10934" width="13.85546875" style="148" customWidth="1"/>
    <col min="10935" max="10935" width="9.5703125" style="148" bestFit="1" customWidth="1"/>
    <col min="10936" max="10936" width="12.140625" style="148" bestFit="1" customWidth="1"/>
    <col min="10937" max="10937" width="13.42578125" style="148" customWidth="1"/>
    <col min="10938" max="10938" width="13.28515625" style="148" customWidth="1"/>
    <col min="10939" max="10939" width="12.28515625" style="148" customWidth="1"/>
    <col min="10940" max="10940" width="11.7109375" style="148" bestFit="1" customWidth="1"/>
    <col min="10941" max="10941" width="9.7109375" style="148" bestFit="1" customWidth="1"/>
    <col min="10942" max="10942" width="11.85546875" style="148" customWidth="1"/>
    <col min="10943" max="10943" width="13.28515625" style="148" customWidth="1"/>
    <col min="10944" max="10944" width="12.85546875" style="148" customWidth="1"/>
    <col min="10945" max="10945" width="36" style="148" customWidth="1"/>
    <col min="10946" max="10946" width="11" style="148" customWidth="1"/>
    <col min="10947" max="10947" width="12" style="148" customWidth="1"/>
    <col min="10948" max="10948" width="9.140625" style="148"/>
    <col min="10949" max="10949" width="12.28515625" style="148" customWidth="1"/>
    <col min="10950" max="10950" width="10.140625" style="148" bestFit="1" customWidth="1"/>
    <col min="10951" max="10951" width="12" style="148" customWidth="1"/>
    <col min="10952" max="10952" width="12.5703125" style="148" bestFit="1" customWidth="1"/>
    <col min="10953" max="10953" width="10.42578125" style="148" customWidth="1"/>
    <col min="10954" max="10954" width="9.140625" style="148"/>
    <col min="10955" max="10955" width="11.5703125" style="148" customWidth="1"/>
    <col min="10956" max="10956" width="11.42578125" style="148" customWidth="1"/>
    <col min="10957" max="10957" width="11.5703125" style="148" customWidth="1"/>
    <col min="10958" max="10958" width="12.42578125" style="148" bestFit="1" customWidth="1"/>
    <col min="10959" max="11187" width="9.140625" style="148"/>
    <col min="11188" max="11188" width="49.42578125" style="148" customWidth="1"/>
    <col min="11189" max="11189" width="13.85546875" style="148" bestFit="1" customWidth="1"/>
    <col min="11190" max="11190" width="13.85546875" style="148" customWidth="1"/>
    <col min="11191" max="11191" width="9.5703125" style="148" bestFit="1" customWidth="1"/>
    <col min="11192" max="11192" width="12.140625" style="148" bestFit="1" customWidth="1"/>
    <col min="11193" max="11193" width="13.42578125" style="148" customWidth="1"/>
    <col min="11194" max="11194" width="13.28515625" style="148" customWidth="1"/>
    <col min="11195" max="11195" width="12.28515625" style="148" customWidth="1"/>
    <col min="11196" max="11196" width="11.7109375" style="148" bestFit="1" customWidth="1"/>
    <col min="11197" max="11197" width="9.7109375" style="148" bestFit="1" customWidth="1"/>
    <col min="11198" max="11198" width="11.85546875" style="148" customWidth="1"/>
    <col min="11199" max="11199" width="13.28515625" style="148" customWidth="1"/>
    <col min="11200" max="11200" width="12.85546875" style="148" customWidth="1"/>
    <col min="11201" max="11201" width="36" style="148" customWidth="1"/>
    <col min="11202" max="11202" width="11" style="148" customWidth="1"/>
    <col min="11203" max="11203" width="12" style="148" customWidth="1"/>
    <col min="11204" max="11204" width="9.140625" style="148"/>
    <col min="11205" max="11205" width="12.28515625" style="148" customWidth="1"/>
    <col min="11206" max="11206" width="10.140625" style="148" bestFit="1" customWidth="1"/>
    <col min="11207" max="11207" width="12" style="148" customWidth="1"/>
    <col min="11208" max="11208" width="12.5703125" style="148" bestFit="1" customWidth="1"/>
    <col min="11209" max="11209" width="10.42578125" style="148" customWidth="1"/>
    <col min="11210" max="11210" width="9.140625" style="148"/>
    <col min="11211" max="11211" width="11.5703125" style="148" customWidth="1"/>
    <col min="11212" max="11212" width="11.42578125" style="148" customWidth="1"/>
    <col min="11213" max="11213" width="11.5703125" style="148" customWidth="1"/>
    <col min="11214" max="11214" width="12.42578125" style="148" bestFit="1" customWidth="1"/>
    <col min="11215" max="11443" width="9.140625" style="148"/>
    <col min="11444" max="11444" width="49.42578125" style="148" customWidth="1"/>
    <col min="11445" max="11445" width="13.85546875" style="148" bestFit="1" customWidth="1"/>
    <col min="11446" max="11446" width="13.85546875" style="148" customWidth="1"/>
    <col min="11447" max="11447" width="9.5703125" style="148" bestFit="1" customWidth="1"/>
    <col min="11448" max="11448" width="12.140625" style="148" bestFit="1" customWidth="1"/>
    <col min="11449" max="11449" width="13.42578125" style="148" customWidth="1"/>
    <col min="11450" max="11450" width="13.28515625" style="148" customWidth="1"/>
    <col min="11451" max="11451" width="12.28515625" style="148" customWidth="1"/>
    <col min="11452" max="11452" width="11.7109375" style="148" bestFit="1" customWidth="1"/>
    <col min="11453" max="11453" width="9.7109375" style="148" bestFit="1" customWidth="1"/>
    <col min="11454" max="11454" width="11.85546875" style="148" customWidth="1"/>
    <col min="11455" max="11455" width="13.28515625" style="148" customWidth="1"/>
    <col min="11456" max="11456" width="12.85546875" style="148" customWidth="1"/>
    <col min="11457" max="11457" width="36" style="148" customWidth="1"/>
    <col min="11458" max="11458" width="11" style="148" customWidth="1"/>
    <col min="11459" max="11459" width="12" style="148" customWidth="1"/>
    <col min="11460" max="11460" width="9.140625" style="148"/>
    <col min="11461" max="11461" width="12.28515625" style="148" customWidth="1"/>
    <col min="11462" max="11462" width="10.140625" style="148" bestFit="1" customWidth="1"/>
    <col min="11463" max="11463" width="12" style="148" customWidth="1"/>
    <col min="11464" max="11464" width="12.5703125" style="148" bestFit="1" customWidth="1"/>
    <col min="11465" max="11465" width="10.42578125" style="148" customWidth="1"/>
    <col min="11466" max="11466" width="9.140625" style="148"/>
    <col min="11467" max="11467" width="11.5703125" style="148" customWidth="1"/>
    <col min="11468" max="11468" width="11.42578125" style="148" customWidth="1"/>
    <col min="11469" max="11469" width="11.5703125" style="148" customWidth="1"/>
    <col min="11470" max="11470" width="12.42578125" style="148" bestFit="1" customWidth="1"/>
    <col min="11471" max="11699" width="9.140625" style="148"/>
    <col min="11700" max="11700" width="49.42578125" style="148" customWidth="1"/>
    <col min="11701" max="11701" width="13.85546875" style="148" bestFit="1" customWidth="1"/>
    <col min="11702" max="11702" width="13.85546875" style="148" customWidth="1"/>
    <col min="11703" max="11703" width="9.5703125" style="148" bestFit="1" customWidth="1"/>
    <col min="11704" max="11704" width="12.140625" style="148" bestFit="1" customWidth="1"/>
    <col min="11705" max="11705" width="13.42578125" style="148" customWidth="1"/>
    <col min="11706" max="11706" width="13.28515625" style="148" customWidth="1"/>
    <col min="11707" max="11707" width="12.28515625" style="148" customWidth="1"/>
    <col min="11708" max="11708" width="11.7109375" style="148" bestFit="1" customWidth="1"/>
    <col min="11709" max="11709" width="9.7109375" style="148" bestFit="1" customWidth="1"/>
    <col min="11710" max="11710" width="11.85546875" style="148" customWidth="1"/>
    <col min="11711" max="11711" width="13.28515625" style="148" customWidth="1"/>
    <col min="11712" max="11712" width="12.85546875" style="148" customWidth="1"/>
    <col min="11713" max="11713" width="36" style="148" customWidth="1"/>
    <col min="11714" max="11714" width="11" style="148" customWidth="1"/>
    <col min="11715" max="11715" width="12" style="148" customWidth="1"/>
    <col min="11716" max="11716" width="9.140625" style="148"/>
    <col min="11717" max="11717" width="12.28515625" style="148" customWidth="1"/>
    <col min="11718" max="11718" width="10.140625" style="148" bestFit="1" customWidth="1"/>
    <col min="11719" max="11719" width="12" style="148" customWidth="1"/>
    <col min="11720" max="11720" width="12.5703125" style="148" bestFit="1" customWidth="1"/>
    <col min="11721" max="11721" width="10.42578125" style="148" customWidth="1"/>
    <col min="11722" max="11722" width="9.140625" style="148"/>
    <col min="11723" max="11723" width="11.5703125" style="148" customWidth="1"/>
    <col min="11724" max="11724" width="11.42578125" style="148" customWidth="1"/>
    <col min="11725" max="11725" width="11.5703125" style="148" customWidth="1"/>
    <col min="11726" max="11726" width="12.42578125" style="148" bestFit="1" customWidth="1"/>
    <col min="11727" max="11955" width="9.140625" style="148"/>
    <col min="11956" max="11956" width="49.42578125" style="148" customWidth="1"/>
    <col min="11957" max="11957" width="13.85546875" style="148" bestFit="1" customWidth="1"/>
    <col min="11958" max="11958" width="13.85546875" style="148" customWidth="1"/>
    <col min="11959" max="11959" width="9.5703125" style="148" bestFit="1" customWidth="1"/>
    <col min="11960" max="11960" width="12.140625" style="148" bestFit="1" customWidth="1"/>
    <col min="11961" max="11961" width="13.42578125" style="148" customWidth="1"/>
    <col min="11962" max="11962" width="13.28515625" style="148" customWidth="1"/>
    <col min="11963" max="11963" width="12.28515625" style="148" customWidth="1"/>
    <col min="11964" max="11964" width="11.7109375" style="148" bestFit="1" customWidth="1"/>
    <col min="11965" max="11965" width="9.7109375" style="148" bestFit="1" customWidth="1"/>
    <col min="11966" max="11966" width="11.85546875" style="148" customWidth="1"/>
    <col min="11967" max="11967" width="13.28515625" style="148" customWidth="1"/>
    <col min="11968" max="11968" width="12.85546875" style="148" customWidth="1"/>
    <col min="11969" max="11969" width="36" style="148" customWidth="1"/>
    <col min="11970" max="11970" width="11" style="148" customWidth="1"/>
    <col min="11971" max="11971" width="12" style="148" customWidth="1"/>
    <col min="11972" max="11972" width="9.140625" style="148"/>
    <col min="11973" max="11973" width="12.28515625" style="148" customWidth="1"/>
    <col min="11974" max="11974" width="10.140625" style="148" bestFit="1" customWidth="1"/>
    <col min="11975" max="11975" width="12" style="148" customWidth="1"/>
    <col min="11976" max="11976" width="12.5703125" style="148" bestFit="1" customWidth="1"/>
    <col min="11977" max="11977" width="10.42578125" style="148" customWidth="1"/>
    <col min="11978" max="11978" width="9.140625" style="148"/>
    <col min="11979" max="11979" width="11.5703125" style="148" customWidth="1"/>
    <col min="11980" max="11980" width="11.42578125" style="148" customWidth="1"/>
    <col min="11981" max="11981" width="11.5703125" style="148" customWidth="1"/>
    <col min="11982" max="11982" width="12.42578125" style="148" bestFit="1" customWidth="1"/>
    <col min="11983" max="12211" width="9.140625" style="148"/>
    <col min="12212" max="12212" width="49.42578125" style="148" customWidth="1"/>
    <col min="12213" max="12213" width="13.85546875" style="148" bestFit="1" customWidth="1"/>
    <col min="12214" max="12214" width="13.85546875" style="148" customWidth="1"/>
    <col min="12215" max="12215" width="9.5703125" style="148" bestFit="1" customWidth="1"/>
    <col min="12216" max="12216" width="12.140625" style="148" bestFit="1" customWidth="1"/>
    <col min="12217" max="12217" width="13.42578125" style="148" customWidth="1"/>
    <col min="12218" max="12218" width="13.28515625" style="148" customWidth="1"/>
    <col min="12219" max="12219" width="12.28515625" style="148" customWidth="1"/>
    <col min="12220" max="12220" width="11.7109375" style="148" bestFit="1" customWidth="1"/>
    <col min="12221" max="12221" width="9.7109375" style="148" bestFit="1" customWidth="1"/>
    <col min="12222" max="12222" width="11.85546875" style="148" customWidth="1"/>
    <col min="12223" max="12223" width="13.28515625" style="148" customWidth="1"/>
    <col min="12224" max="12224" width="12.85546875" style="148" customWidth="1"/>
    <col min="12225" max="12225" width="36" style="148" customWidth="1"/>
    <col min="12226" max="12226" width="11" style="148" customWidth="1"/>
    <col min="12227" max="12227" width="12" style="148" customWidth="1"/>
    <col min="12228" max="12228" width="9.140625" style="148"/>
    <col min="12229" max="12229" width="12.28515625" style="148" customWidth="1"/>
    <col min="12230" max="12230" width="10.140625" style="148" bestFit="1" customWidth="1"/>
    <col min="12231" max="12231" width="12" style="148" customWidth="1"/>
    <col min="12232" max="12232" width="12.5703125" style="148" bestFit="1" customWidth="1"/>
    <col min="12233" max="12233" width="10.42578125" style="148" customWidth="1"/>
    <col min="12234" max="12234" width="9.140625" style="148"/>
    <col min="12235" max="12235" width="11.5703125" style="148" customWidth="1"/>
    <col min="12236" max="12236" width="11.42578125" style="148" customWidth="1"/>
    <col min="12237" max="12237" width="11.5703125" style="148" customWidth="1"/>
    <col min="12238" max="12238" width="12.42578125" style="148" bestFit="1" customWidth="1"/>
    <col min="12239" max="12467" width="9.140625" style="148"/>
    <col min="12468" max="12468" width="49.42578125" style="148" customWidth="1"/>
    <col min="12469" max="12469" width="13.85546875" style="148" bestFit="1" customWidth="1"/>
    <col min="12470" max="12470" width="13.85546875" style="148" customWidth="1"/>
    <col min="12471" max="12471" width="9.5703125" style="148" bestFit="1" customWidth="1"/>
    <col min="12472" max="12472" width="12.140625" style="148" bestFit="1" customWidth="1"/>
    <col min="12473" max="12473" width="13.42578125" style="148" customWidth="1"/>
    <col min="12474" max="12474" width="13.28515625" style="148" customWidth="1"/>
    <col min="12475" max="12475" width="12.28515625" style="148" customWidth="1"/>
    <col min="12476" max="12476" width="11.7109375" style="148" bestFit="1" customWidth="1"/>
    <col min="12477" max="12477" width="9.7109375" style="148" bestFit="1" customWidth="1"/>
    <col min="12478" max="12478" width="11.85546875" style="148" customWidth="1"/>
    <col min="12479" max="12479" width="13.28515625" style="148" customWidth="1"/>
    <col min="12480" max="12480" width="12.85546875" style="148" customWidth="1"/>
    <col min="12481" max="12481" width="36" style="148" customWidth="1"/>
    <col min="12482" max="12482" width="11" style="148" customWidth="1"/>
    <col min="12483" max="12483" width="12" style="148" customWidth="1"/>
    <col min="12484" max="12484" width="9.140625" style="148"/>
    <col min="12485" max="12485" width="12.28515625" style="148" customWidth="1"/>
    <col min="12486" max="12486" width="10.140625" style="148" bestFit="1" customWidth="1"/>
    <col min="12487" max="12487" width="12" style="148" customWidth="1"/>
    <col min="12488" max="12488" width="12.5703125" style="148" bestFit="1" customWidth="1"/>
    <col min="12489" max="12489" width="10.42578125" style="148" customWidth="1"/>
    <col min="12490" max="12490" width="9.140625" style="148"/>
    <col min="12491" max="12491" width="11.5703125" style="148" customWidth="1"/>
    <col min="12492" max="12492" width="11.42578125" style="148" customWidth="1"/>
    <col min="12493" max="12493" width="11.5703125" style="148" customWidth="1"/>
    <col min="12494" max="12494" width="12.42578125" style="148" bestFit="1" customWidth="1"/>
    <col min="12495" max="12723" width="9.140625" style="148"/>
    <col min="12724" max="12724" width="49.42578125" style="148" customWidth="1"/>
    <col min="12725" max="12725" width="13.85546875" style="148" bestFit="1" customWidth="1"/>
    <col min="12726" max="12726" width="13.85546875" style="148" customWidth="1"/>
    <col min="12727" max="12727" width="9.5703125" style="148" bestFit="1" customWidth="1"/>
    <col min="12728" max="12728" width="12.140625" style="148" bestFit="1" customWidth="1"/>
    <col min="12729" max="12729" width="13.42578125" style="148" customWidth="1"/>
    <col min="12730" max="12730" width="13.28515625" style="148" customWidth="1"/>
    <col min="12731" max="12731" width="12.28515625" style="148" customWidth="1"/>
    <col min="12732" max="12732" width="11.7109375" style="148" bestFit="1" customWidth="1"/>
    <col min="12733" max="12733" width="9.7109375" style="148" bestFit="1" customWidth="1"/>
    <col min="12734" max="12734" width="11.85546875" style="148" customWidth="1"/>
    <col min="12735" max="12735" width="13.28515625" style="148" customWidth="1"/>
    <col min="12736" max="12736" width="12.85546875" style="148" customWidth="1"/>
    <col min="12737" max="12737" width="36" style="148" customWidth="1"/>
    <col min="12738" max="12738" width="11" style="148" customWidth="1"/>
    <col min="12739" max="12739" width="12" style="148" customWidth="1"/>
    <col min="12740" max="12740" width="9.140625" style="148"/>
    <col min="12741" max="12741" width="12.28515625" style="148" customWidth="1"/>
    <col min="12742" max="12742" width="10.140625" style="148" bestFit="1" customWidth="1"/>
    <col min="12743" max="12743" width="12" style="148" customWidth="1"/>
    <col min="12744" max="12744" width="12.5703125" style="148" bestFit="1" customWidth="1"/>
    <col min="12745" max="12745" width="10.42578125" style="148" customWidth="1"/>
    <col min="12746" max="12746" width="9.140625" style="148"/>
    <col min="12747" max="12747" width="11.5703125" style="148" customWidth="1"/>
    <col min="12748" max="12748" width="11.42578125" style="148" customWidth="1"/>
    <col min="12749" max="12749" width="11.5703125" style="148" customWidth="1"/>
    <col min="12750" max="12750" width="12.42578125" style="148" bestFit="1" customWidth="1"/>
    <col min="12751" max="12979" width="9.140625" style="148"/>
    <col min="12980" max="12980" width="49.42578125" style="148" customWidth="1"/>
    <col min="12981" max="12981" width="13.85546875" style="148" bestFit="1" customWidth="1"/>
    <col min="12982" max="12982" width="13.85546875" style="148" customWidth="1"/>
    <col min="12983" max="12983" width="9.5703125" style="148" bestFit="1" customWidth="1"/>
    <col min="12984" max="12984" width="12.140625" style="148" bestFit="1" customWidth="1"/>
    <col min="12985" max="12985" width="13.42578125" style="148" customWidth="1"/>
    <col min="12986" max="12986" width="13.28515625" style="148" customWidth="1"/>
    <col min="12987" max="12987" width="12.28515625" style="148" customWidth="1"/>
    <col min="12988" max="12988" width="11.7109375" style="148" bestFit="1" customWidth="1"/>
    <col min="12989" max="12989" width="9.7109375" style="148" bestFit="1" customWidth="1"/>
    <col min="12990" max="12990" width="11.85546875" style="148" customWidth="1"/>
    <col min="12991" max="12991" width="13.28515625" style="148" customWidth="1"/>
    <col min="12992" max="12992" width="12.85546875" style="148" customWidth="1"/>
    <col min="12993" max="12993" width="36" style="148" customWidth="1"/>
    <col min="12994" max="12994" width="11" style="148" customWidth="1"/>
    <col min="12995" max="12995" width="12" style="148" customWidth="1"/>
    <col min="12996" max="12996" width="9.140625" style="148"/>
    <col min="12997" max="12997" width="12.28515625" style="148" customWidth="1"/>
    <col min="12998" max="12998" width="10.140625" style="148" bestFit="1" customWidth="1"/>
    <col min="12999" max="12999" width="12" style="148" customWidth="1"/>
    <col min="13000" max="13000" width="12.5703125" style="148" bestFit="1" customWidth="1"/>
    <col min="13001" max="13001" width="10.42578125" style="148" customWidth="1"/>
    <col min="13002" max="13002" width="9.140625" style="148"/>
    <col min="13003" max="13003" width="11.5703125" style="148" customWidth="1"/>
    <col min="13004" max="13004" width="11.42578125" style="148" customWidth="1"/>
    <col min="13005" max="13005" width="11.5703125" style="148" customWidth="1"/>
    <col min="13006" max="13006" width="12.42578125" style="148" bestFit="1" customWidth="1"/>
    <col min="13007" max="13235" width="9.140625" style="148"/>
    <col min="13236" max="13236" width="49.42578125" style="148" customWidth="1"/>
    <col min="13237" max="13237" width="13.85546875" style="148" bestFit="1" customWidth="1"/>
    <col min="13238" max="13238" width="13.85546875" style="148" customWidth="1"/>
    <col min="13239" max="13239" width="9.5703125" style="148" bestFit="1" customWidth="1"/>
    <col min="13240" max="13240" width="12.140625" style="148" bestFit="1" customWidth="1"/>
    <col min="13241" max="13241" width="13.42578125" style="148" customWidth="1"/>
    <col min="13242" max="13242" width="13.28515625" style="148" customWidth="1"/>
    <col min="13243" max="13243" width="12.28515625" style="148" customWidth="1"/>
    <col min="13244" max="13244" width="11.7109375" style="148" bestFit="1" customWidth="1"/>
    <col min="13245" max="13245" width="9.7109375" style="148" bestFit="1" customWidth="1"/>
    <col min="13246" max="13246" width="11.85546875" style="148" customWidth="1"/>
    <col min="13247" max="13247" width="13.28515625" style="148" customWidth="1"/>
    <col min="13248" max="13248" width="12.85546875" style="148" customWidth="1"/>
    <col min="13249" max="13249" width="36" style="148" customWidth="1"/>
    <col min="13250" max="13250" width="11" style="148" customWidth="1"/>
    <col min="13251" max="13251" width="12" style="148" customWidth="1"/>
    <col min="13252" max="13252" width="9.140625" style="148"/>
    <col min="13253" max="13253" width="12.28515625" style="148" customWidth="1"/>
    <col min="13254" max="13254" width="10.140625" style="148" bestFit="1" customWidth="1"/>
    <col min="13255" max="13255" width="12" style="148" customWidth="1"/>
    <col min="13256" max="13256" width="12.5703125" style="148" bestFit="1" customWidth="1"/>
    <col min="13257" max="13257" width="10.42578125" style="148" customWidth="1"/>
    <col min="13258" max="13258" width="9.140625" style="148"/>
    <col min="13259" max="13259" width="11.5703125" style="148" customWidth="1"/>
    <col min="13260" max="13260" width="11.42578125" style="148" customWidth="1"/>
    <col min="13261" max="13261" width="11.5703125" style="148" customWidth="1"/>
    <col min="13262" max="13262" width="12.42578125" style="148" bestFit="1" customWidth="1"/>
    <col min="13263" max="13491" width="9.140625" style="148"/>
    <col min="13492" max="13492" width="49.42578125" style="148" customWidth="1"/>
    <col min="13493" max="13493" width="13.85546875" style="148" bestFit="1" customWidth="1"/>
    <col min="13494" max="13494" width="13.85546875" style="148" customWidth="1"/>
    <col min="13495" max="13495" width="9.5703125" style="148" bestFit="1" customWidth="1"/>
    <col min="13496" max="13496" width="12.140625" style="148" bestFit="1" customWidth="1"/>
    <col min="13497" max="13497" width="13.42578125" style="148" customWidth="1"/>
    <col min="13498" max="13498" width="13.28515625" style="148" customWidth="1"/>
    <col min="13499" max="13499" width="12.28515625" style="148" customWidth="1"/>
    <col min="13500" max="13500" width="11.7109375" style="148" bestFit="1" customWidth="1"/>
    <col min="13501" max="13501" width="9.7109375" style="148" bestFit="1" customWidth="1"/>
    <col min="13502" max="13502" width="11.85546875" style="148" customWidth="1"/>
    <col min="13503" max="13503" width="13.28515625" style="148" customWidth="1"/>
    <col min="13504" max="13504" width="12.85546875" style="148" customWidth="1"/>
    <col min="13505" max="13505" width="36" style="148" customWidth="1"/>
    <col min="13506" max="13506" width="11" style="148" customWidth="1"/>
    <col min="13507" max="13507" width="12" style="148" customWidth="1"/>
    <col min="13508" max="13508" width="9.140625" style="148"/>
    <col min="13509" max="13509" width="12.28515625" style="148" customWidth="1"/>
    <col min="13510" max="13510" width="10.140625" style="148" bestFit="1" customWidth="1"/>
    <col min="13511" max="13511" width="12" style="148" customWidth="1"/>
    <col min="13512" max="13512" width="12.5703125" style="148" bestFit="1" customWidth="1"/>
    <col min="13513" max="13513" width="10.42578125" style="148" customWidth="1"/>
    <col min="13514" max="13514" width="9.140625" style="148"/>
    <col min="13515" max="13515" width="11.5703125" style="148" customWidth="1"/>
    <col min="13516" max="13516" width="11.42578125" style="148" customWidth="1"/>
    <col min="13517" max="13517" width="11.5703125" style="148" customWidth="1"/>
    <col min="13518" max="13518" width="12.42578125" style="148" bestFit="1" customWidth="1"/>
    <col min="13519" max="13747" width="9.140625" style="148"/>
    <col min="13748" max="13748" width="49.42578125" style="148" customWidth="1"/>
    <col min="13749" max="13749" width="13.85546875" style="148" bestFit="1" customWidth="1"/>
    <col min="13750" max="13750" width="13.85546875" style="148" customWidth="1"/>
    <col min="13751" max="13751" width="9.5703125" style="148" bestFit="1" customWidth="1"/>
    <col min="13752" max="13752" width="12.140625" style="148" bestFit="1" customWidth="1"/>
    <col min="13753" max="13753" width="13.42578125" style="148" customWidth="1"/>
    <col min="13754" max="13754" width="13.28515625" style="148" customWidth="1"/>
    <col min="13755" max="13755" width="12.28515625" style="148" customWidth="1"/>
    <col min="13756" max="13756" width="11.7109375" style="148" bestFit="1" customWidth="1"/>
    <col min="13757" max="13757" width="9.7109375" style="148" bestFit="1" customWidth="1"/>
    <col min="13758" max="13758" width="11.85546875" style="148" customWidth="1"/>
    <col min="13759" max="13759" width="13.28515625" style="148" customWidth="1"/>
    <col min="13760" max="13760" width="12.85546875" style="148" customWidth="1"/>
    <col min="13761" max="13761" width="36" style="148" customWidth="1"/>
    <col min="13762" max="13762" width="11" style="148" customWidth="1"/>
    <col min="13763" max="13763" width="12" style="148" customWidth="1"/>
    <col min="13764" max="13764" width="9.140625" style="148"/>
    <col min="13765" max="13765" width="12.28515625" style="148" customWidth="1"/>
    <col min="13766" max="13766" width="10.140625" style="148" bestFit="1" customWidth="1"/>
    <col min="13767" max="13767" width="12" style="148" customWidth="1"/>
    <col min="13768" max="13768" width="12.5703125" style="148" bestFit="1" customWidth="1"/>
    <col min="13769" max="13769" width="10.42578125" style="148" customWidth="1"/>
    <col min="13770" max="13770" width="9.140625" style="148"/>
    <col min="13771" max="13771" width="11.5703125" style="148" customWidth="1"/>
    <col min="13772" max="13772" width="11.42578125" style="148" customWidth="1"/>
    <col min="13773" max="13773" width="11.5703125" style="148" customWidth="1"/>
    <col min="13774" max="13774" width="12.42578125" style="148" bestFit="1" customWidth="1"/>
    <col min="13775" max="14003" width="9.140625" style="148"/>
    <col min="14004" max="14004" width="49.42578125" style="148" customWidth="1"/>
    <col min="14005" max="14005" width="13.85546875" style="148" bestFit="1" customWidth="1"/>
    <col min="14006" max="14006" width="13.85546875" style="148" customWidth="1"/>
    <col min="14007" max="14007" width="9.5703125" style="148" bestFit="1" customWidth="1"/>
    <col min="14008" max="14008" width="12.140625" style="148" bestFit="1" customWidth="1"/>
    <col min="14009" max="14009" width="13.42578125" style="148" customWidth="1"/>
    <col min="14010" max="14010" width="13.28515625" style="148" customWidth="1"/>
    <col min="14011" max="14011" width="12.28515625" style="148" customWidth="1"/>
    <col min="14012" max="14012" width="11.7109375" style="148" bestFit="1" customWidth="1"/>
    <col min="14013" max="14013" width="9.7109375" style="148" bestFit="1" customWidth="1"/>
    <col min="14014" max="14014" width="11.85546875" style="148" customWidth="1"/>
    <col min="14015" max="14015" width="13.28515625" style="148" customWidth="1"/>
    <col min="14016" max="14016" width="12.85546875" style="148" customWidth="1"/>
    <col min="14017" max="14017" width="36" style="148" customWidth="1"/>
    <col min="14018" max="14018" width="11" style="148" customWidth="1"/>
    <col min="14019" max="14019" width="12" style="148" customWidth="1"/>
    <col min="14020" max="14020" width="9.140625" style="148"/>
    <col min="14021" max="14021" width="12.28515625" style="148" customWidth="1"/>
    <col min="14022" max="14022" width="10.140625" style="148" bestFit="1" customWidth="1"/>
    <col min="14023" max="14023" width="12" style="148" customWidth="1"/>
    <col min="14024" max="14024" width="12.5703125" style="148" bestFit="1" customWidth="1"/>
    <col min="14025" max="14025" width="10.42578125" style="148" customWidth="1"/>
    <col min="14026" max="14026" width="9.140625" style="148"/>
    <col min="14027" max="14027" width="11.5703125" style="148" customWidth="1"/>
    <col min="14028" max="14028" width="11.42578125" style="148" customWidth="1"/>
    <col min="14029" max="14029" width="11.5703125" style="148" customWidth="1"/>
    <col min="14030" max="14030" width="12.42578125" style="148" bestFit="1" customWidth="1"/>
    <col min="14031" max="14259" width="9.140625" style="148"/>
    <col min="14260" max="14260" width="49.42578125" style="148" customWidth="1"/>
    <col min="14261" max="14261" width="13.85546875" style="148" bestFit="1" customWidth="1"/>
    <col min="14262" max="14262" width="13.85546875" style="148" customWidth="1"/>
    <col min="14263" max="14263" width="9.5703125" style="148" bestFit="1" customWidth="1"/>
    <col min="14264" max="14264" width="12.140625" style="148" bestFit="1" customWidth="1"/>
    <col min="14265" max="14265" width="13.42578125" style="148" customWidth="1"/>
    <col min="14266" max="14266" width="13.28515625" style="148" customWidth="1"/>
    <col min="14267" max="14267" width="12.28515625" style="148" customWidth="1"/>
    <col min="14268" max="14268" width="11.7109375" style="148" bestFit="1" customWidth="1"/>
    <col min="14269" max="14269" width="9.7109375" style="148" bestFit="1" customWidth="1"/>
    <col min="14270" max="14270" width="11.85546875" style="148" customWidth="1"/>
    <col min="14271" max="14271" width="13.28515625" style="148" customWidth="1"/>
    <col min="14272" max="14272" width="12.85546875" style="148" customWidth="1"/>
    <col min="14273" max="14273" width="36" style="148" customWidth="1"/>
    <col min="14274" max="14274" width="11" style="148" customWidth="1"/>
    <col min="14275" max="14275" width="12" style="148" customWidth="1"/>
    <col min="14276" max="14276" width="9.140625" style="148"/>
    <col min="14277" max="14277" width="12.28515625" style="148" customWidth="1"/>
    <col min="14278" max="14278" width="10.140625" style="148" bestFit="1" customWidth="1"/>
    <col min="14279" max="14279" width="12" style="148" customWidth="1"/>
    <col min="14280" max="14280" width="12.5703125" style="148" bestFit="1" customWidth="1"/>
    <col min="14281" max="14281" width="10.42578125" style="148" customWidth="1"/>
    <col min="14282" max="14282" width="9.140625" style="148"/>
    <col min="14283" max="14283" width="11.5703125" style="148" customWidth="1"/>
    <col min="14284" max="14284" width="11.42578125" style="148" customWidth="1"/>
    <col min="14285" max="14285" width="11.5703125" style="148" customWidth="1"/>
    <col min="14286" max="14286" width="12.42578125" style="148" bestFit="1" customWidth="1"/>
    <col min="14287" max="14515" width="9.140625" style="148"/>
    <col min="14516" max="14516" width="49.42578125" style="148" customWidth="1"/>
    <col min="14517" max="14517" width="13.85546875" style="148" bestFit="1" customWidth="1"/>
    <col min="14518" max="14518" width="13.85546875" style="148" customWidth="1"/>
    <col min="14519" max="14519" width="9.5703125" style="148" bestFit="1" customWidth="1"/>
    <col min="14520" max="14520" width="12.140625" style="148" bestFit="1" customWidth="1"/>
    <col min="14521" max="14521" width="13.42578125" style="148" customWidth="1"/>
    <col min="14522" max="14522" width="13.28515625" style="148" customWidth="1"/>
    <col min="14523" max="14523" width="12.28515625" style="148" customWidth="1"/>
    <col min="14524" max="14524" width="11.7109375" style="148" bestFit="1" customWidth="1"/>
    <col min="14525" max="14525" width="9.7109375" style="148" bestFit="1" customWidth="1"/>
    <col min="14526" max="14526" width="11.85546875" style="148" customWidth="1"/>
    <col min="14527" max="14527" width="13.28515625" style="148" customWidth="1"/>
    <col min="14528" max="14528" width="12.85546875" style="148" customWidth="1"/>
    <col min="14529" max="14529" width="36" style="148" customWidth="1"/>
    <col min="14530" max="14530" width="11" style="148" customWidth="1"/>
    <col min="14531" max="14531" width="12" style="148" customWidth="1"/>
    <col min="14532" max="14532" width="9.140625" style="148"/>
    <col min="14533" max="14533" width="12.28515625" style="148" customWidth="1"/>
    <col min="14534" max="14534" width="10.140625" style="148" bestFit="1" customWidth="1"/>
    <col min="14535" max="14535" width="12" style="148" customWidth="1"/>
    <col min="14536" max="14536" width="12.5703125" style="148" bestFit="1" customWidth="1"/>
    <col min="14537" max="14537" width="10.42578125" style="148" customWidth="1"/>
    <col min="14538" max="14538" width="9.140625" style="148"/>
    <col min="14539" max="14539" width="11.5703125" style="148" customWidth="1"/>
    <col min="14540" max="14540" width="11.42578125" style="148" customWidth="1"/>
    <col min="14541" max="14541" width="11.5703125" style="148" customWidth="1"/>
    <col min="14542" max="14542" width="12.42578125" style="148" bestFit="1" customWidth="1"/>
    <col min="14543" max="14771" width="9.140625" style="148"/>
    <col min="14772" max="14772" width="49.42578125" style="148" customWidth="1"/>
    <col min="14773" max="14773" width="13.85546875" style="148" bestFit="1" customWidth="1"/>
    <col min="14774" max="14774" width="13.85546875" style="148" customWidth="1"/>
    <col min="14775" max="14775" width="9.5703125" style="148" bestFit="1" customWidth="1"/>
    <col min="14776" max="14776" width="12.140625" style="148" bestFit="1" customWidth="1"/>
    <col min="14777" max="14777" width="13.42578125" style="148" customWidth="1"/>
    <col min="14778" max="14778" width="13.28515625" style="148" customWidth="1"/>
    <col min="14779" max="14779" width="12.28515625" style="148" customWidth="1"/>
    <col min="14780" max="14780" width="11.7109375" style="148" bestFit="1" customWidth="1"/>
    <col min="14781" max="14781" width="9.7109375" style="148" bestFit="1" customWidth="1"/>
    <col min="14782" max="14782" width="11.85546875" style="148" customWidth="1"/>
    <col min="14783" max="14783" width="13.28515625" style="148" customWidth="1"/>
    <col min="14784" max="14784" width="12.85546875" style="148" customWidth="1"/>
    <col min="14785" max="14785" width="36" style="148" customWidth="1"/>
    <col min="14786" max="14786" width="11" style="148" customWidth="1"/>
    <col min="14787" max="14787" width="12" style="148" customWidth="1"/>
    <col min="14788" max="14788" width="9.140625" style="148"/>
    <col min="14789" max="14789" width="12.28515625" style="148" customWidth="1"/>
    <col min="14790" max="14790" width="10.140625" style="148" bestFit="1" customWidth="1"/>
    <col min="14791" max="14791" width="12" style="148" customWidth="1"/>
    <col min="14792" max="14792" width="12.5703125" style="148" bestFit="1" customWidth="1"/>
    <col min="14793" max="14793" width="10.42578125" style="148" customWidth="1"/>
    <col min="14794" max="14794" width="9.140625" style="148"/>
    <col min="14795" max="14795" width="11.5703125" style="148" customWidth="1"/>
    <col min="14796" max="14796" width="11.42578125" style="148" customWidth="1"/>
    <col min="14797" max="14797" width="11.5703125" style="148" customWidth="1"/>
    <col min="14798" max="14798" width="12.42578125" style="148" bestFit="1" customWidth="1"/>
    <col min="14799" max="15027" width="9.140625" style="148"/>
    <col min="15028" max="15028" width="49.42578125" style="148" customWidth="1"/>
    <col min="15029" max="15029" width="13.85546875" style="148" bestFit="1" customWidth="1"/>
    <col min="15030" max="15030" width="13.85546875" style="148" customWidth="1"/>
    <col min="15031" max="15031" width="9.5703125" style="148" bestFit="1" customWidth="1"/>
    <col min="15032" max="15032" width="12.140625" style="148" bestFit="1" customWidth="1"/>
    <col min="15033" max="15033" width="13.42578125" style="148" customWidth="1"/>
    <col min="15034" max="15034" width="13.28515625" style="148" customWidth="1"/>
    <col min="15035" max="15035" width="12.28515625" style="148" customWidth="1"/>
    <col min="15036" max="15036" width="11.7109375" style="148" bestFit="1" customWidth="1"/>
    <col min="15037" max="15037" width="9.7109375" style="148" bestFit="1" customWidth="1"/>
    <col min="15038" max="15038" width="11.85546875" style="148" customWidth="1"/>
    <col min="15039" max="15039" width="13.28515625" style="148" customWidth="1"/>
    <col min="15040" max="15040" width="12.85546875" style="148" customWidth="1"/>
    <col min="15041" max="15041" width="36" style="148" customWidth="1"/>
    <col min="15042" max="15042" width="11" style="148" customWidth="1"/>
    <col min="15043" max="15043" width="12" style="148" customWidth="1"/>
    <col min="15044" max="15044" width="9.140625" style="148"/>
    <col min="15045" max="15045" width="12.28515625" style="148" customWidth="1"/>
    <col min="15046" max="15046" width="10.140625" style="148" bestFit="1" customWidth="1"/>
    <col min="15047" max="15047" width="12" style="148" customWidth="1"/>
    <col min="15048" max="15048" width="12.5703125" style="148" bestFit="1" customWidth="1"/>
    <col min="15049" max="15049" width="10.42578125" style="148" customWidth="1"/>
    <col min="15050" max="15050" width="9.140625" style="148"/>
    <col min="15051" max="15051" width="11.5703125" style="148" customWidth="1"/>
    <col min="15052" max="15052" width="11.42578125" style="148" customWidth="1"/>
    <col min="15053" max="15053" width="11.5703125" style="148" customWidth="1"/>
    <col min="15054" max="15054" width="12.42578125" style="148" bestFit="1" customWidth="1"/>
    <col min="15055" max="15283" width="9.140625" style="148"/>
    <col min="15284" max="15284" width="49.42578125" style="148" customWidth="1"/>
    <col min="15285" max="15285" width="13.85546875" style="148" bestFit="1" customWidth="1"/>
    <col min="15286" max="15286" width="13.85546875" style="148" customWidth="1"/>
    <col min="15287" max="15287" width="9.5703125" style="148" bestFit="1" customWidth="1"/>
    <col min="15288" max="15288" width="12.140625" style="148" bestFit="1" customWidth="1"/>
    <col min="15289" max="15289" width="13.42578125" style="148" customWidth="1"/>
    <col min="15290" max="15290" width="13.28515625" style="148" customWidth="1"/>
    <col min="15291" max="15291" width="12.28515625" style="148" customWidth="1"/>
    <col min="15292" max="15292" width="11.7109375" style="148" bestFit="1" customWidth="1"/>
    <col min="15293" max="15293" width="9.7109375" style="148" bestFit="1" customWidth="1"/>
    <col min="15294" max="15294" width="11.85546875" style="148" customWidth="1"/>
    <col min="15295" max="15295" width="13.28515625" style="148" customWidth="1"/>
    <col min="15296" max="15296" width="12.85546875" style="148" customWidth="1"/>
    <col min="15297" max="15297" width="36" style="148" customWidth="1"/>
    <col min="15298" max="15298" width="11" style="148" customWidth="1"/>
    <col min="15299" max="15299" width="12" style="148" customWidth="1"/>
    <col min="15300" max="15300" width="9.140625" style="148"/>
    <col min="15301" max="15301" width="12.28515625" style="148" customWidth="1"/>
    <col min="15302" max="15302" width="10.140625" style="148" bestFit="1" customWidth="1"/>
    <col min="15303" max="15303" width="12" style="148" customWidth="1"/>
    <col min="15304" max="15304" width="12.5703125" style="148" bestFit="1" customWidth="1"/>
    <col min="15305" max="15305" width="10.42578125" style="148" customWidth="1"/>
    <col min="15306" max="15306" width="9.140625" style="148"/>
    <col min="15307" max="15307" width="11.5703125" style="148" customWidth="1"/>
    <col min="15308" max="15308" width="11.42578125" style="148" customWidth="1"/>
    <col min="15309" max="15309" width="11.5703125" style="148" customWidth="1"/>
    <col min="15310" max="15310" width="12.42578125" style="148" bestFit="1" customWidth="1"/>
    <col min="15311" max="15539" width="9.140625" style="148"/>
    <col min="15540" max="15540" width="49.42578125" style="148" customWidth="1"/>
    <col min="15541" max="15541" width="13.85546875" style="148" bestFit="1" customWidth="1"/>
    <col min="15542" max="15542" width="13.85546875" style="148" customWidth="1"/>
    <col min="15543" max="15543" width="9.5703125" style="148" bestFit="1" customWidth="1"/>
    <col min="15544" max="15544" width="12.140625" style="148" bestFit="1" customWidth="1"/>
    <col min="15545" max="15545" width="13.42578125" style="148" customWidth="1"/>
    <col min="15546" max="15546" width="13.28515625" style="148" customWidth="1"/>
    <col min="15547" max="15547" width="12.28515625" style="148" customWidth="1"/>
    <col min="15548" max="15548" width="11.7109375" style="148" bestFit="1" customWidth="1"/>
    <col min="15549" max="15549" width="9.7109375" style="148" bestFit="1" customWidth="1"/>
    <col min="15550" max="15550" width="11.85546875" style="148" customWidth="1"/>
    <col min="15551" max="15551" width="13.28515625" style="148" customWidth="1"/>
    <col min="15552" max="15552" width="12.85546875" style="148" customWidth="1"/>
    <col min="15553" max="15553" width="36" style="148" customWidth="1"/>
    <col min="15554" max="15554" width="11" style="148" customWidth="1"/>
    <col min="15555" max="15555" width="12" style="148" customWidth="1"/>
    <col min="15556" max="15556" width="9.140625" style="148"/>
    <col min="15557" max="15557" width="12.28515625" style="148" customWidth="1"/>
    <col min="15558" max="15558" width="10.140625" style="148" bestFit="1" customWidth="1"/>
    <col min="15559" max="15559" width="12" style="148" customWidth="1"/>
    <col min="15560" max="15560" width="12.5703125" style="148" bestFit="1" customWidth="1"/>
    <col min="15561" max="15561" width="10.42578125" style="148" customWidth="1"/>
    <col min="15562" max="15562" width="9.140625" style="148"/>
    <col min="15563" max="15563" width="11.5703125" style="148" customWidth="1"/>
    <col min="15564" max="15564" width="11.42578125" style="148" customWidth="1"/>
    <col min="15565" max="15565" width="11.5703125" style="148" customWidth="1"/>
    <col min="15566" max="15566" width="12.42578125" style="148" bestFit="1" customWidth="1"/>
    <col min="15567" max="15795" width="9.140625" style="148"/>
    <col min="15796" max="15796" width="49.42578125" style="148" customWidth="1"/>
    <col min="15797" max="15797" width="13.85546875" style="148" bestFit="1" customWidth="1"/>
    <col min="15798" max="15798" width="13.85546875" style="148" customWidth="1"/>
    <col min="15799" max="15799" width="9.5703125" style="148" bestFit="1" customWidth="1"/>
    <col min="15800" max="15800" width="12.140625" style="148" bestFit="1" customWidth="1"/>
    <col min="15801" max="15801" width="13.42578125" style="148" customWidth="1"/>
    <col min="15802" max="15802" width="13.28515625" style="148" customWidth="1"/>
    <col min="15803" max="15803" width="12.28515625" style="148" customWidth="1"/>
    <col min="15804" max="15804" width="11.7109375" style="148" bestFit="1" customWidth="1"/>
    <col min="15805" max="15805" width="9.7109375" style="148" bestFit="1" customWidth="1"/>
    <col min="15806" max="15806" width="11.85546875" style="148" customWidth="1"/>
    <col min="15807" max="15807" width="13.28515625" style="148" customWidth="1"/>
    <col min="15808" max="15808" width="12.85546875" style="148" customWidth="1"/>
    <col min="15809" max="15809" width="36" style="148" customWidth="1"/>
    <col min="15810" max="15810" width="11" style="148" customWidth="1"/>
    <col min="15811" max="15811" width="12" style="148" customWidth="1"/>
    <col min="15812" max="15812" width="9.140625" style="148"/>
    <col min="15813" max="15813" width="12.28515625" style="148" customWidth="1"/>
    <col min="15814" max="15814" width="10.140625" style="148" bestFit="1" customWidth="1"/>
    <col min="15815" max="15815" width="12" style="148" customWidth="1"/>
    <col min="15816" max="15816" width="12.5703125" style="148" bestFit="1" customWidth="1"/>
    <col min="15817" max="15817" width="10.42578125" style="148" customWidth="1"/>
    <col min="15818" max="15818" width="9.140625" style="148"/>
    <col min="15819" max="15819" width="11.5703125" style="148" customWidth="1"/>
    <col min="15820" max="15820" width="11.42578125" style="148" customWidth="1"/>
    <col min="15821" max="15821" width="11.5703125" style="148" customWidth="1"/>
    <col min="15822" max="15822" width="12.42578125" style="148" bestFit="1" customWidth="1"/>
    <col min="15823" max="16051" width="9.140625" style="148"/>
    <col min="16052" max="16052" width="49.42578125" style="148" customWidth="1"/>
    <col min="16053" max="16053" width="13.85546875" style="148" bestFit="1" customWidth="1"/>
    <col min="16054" max="16054" width="13.85546875" style="148" customWidth="1"/>
    <col min="16055" max="16055" width="9.5703125" style="148" bestFit="1" customWidth="1"/>
    <col min="16056" max="16056" width="12.140625" style="148" bestFit="1" customWidth="1"/>
    <col min="16057" max="16057" width="13.42578125" style="148" customWidth="1"/>
    <col min="16058" max="16058" width="13.28515625" style="148" customWidth="1"/>
    <col min="16059" max="16059" width="12.28515625" style="148" customWidth="1"/>
    <col min="16060" max="16060" width="11.7109375" style="148" bestFit="1" customWidth="1"/>
    <col min="16061" max="16061" width="9.7109375" style="148" bestFit="1" customWidth="1"/>
    <col min="16062" max="16062" width="11.85546875" style="148" customWidth="1"/>
    <col min="16063" max="16063" width="13.28515625" style="148" customWidth="1"/>
    <col min="16064" max="16064" width="12.85546875" style="148" customWidth="1"/>
    <col min="16065" max="16065" width="36" style="148" customWidth="1"/>
    <col min="16066" max="16066" width="11" style="148" customWidth="1"/>
    <col min="16067" max="16067" width="12" style="148" customWidth="1"/>
    <col min="16068" max="16068" width="9.140625" style="148"/>
    <col min="16069" max="16069" width="12.28515625" style="148" customWidth="1"/>
    <col min="16070" max="16070" width="10.140625" style="148" bestFit="1" customWidth="1"/>
    <col min="16071" max="16071" width="12" style="148" customWidth="1"/>
    <col min="16072" max="16072" width="12.5703125" style="148" bestFit="1" customWidth="1"/>
    <col min="16073" max="16073" width="10.42578125" style="148" customWidth="1"/>
    <col min="16074" max="16074" width="9.140625" style="148"/>
    <col min="16075" max="16075" width="11.5703125" style="148" customWidth="1"/>
    <col min="16076" max="16076" width="11.42578125" style="148" customWidth="1"/>
    <col min="16077" max="16077" width="11.5703125" style="148" customWidth="1"/>
    <col min="16078" max="16078" width="12.42578125" style="148" bestFit="1" customWidth="1"/>
    <col min="16079" max="16384" width="9.140625" style="148"/>
  </cols>
  <sheetData>
    <row r="1" spans="1:28">
      <c r="K1" s="690" t="s">
        <v>375</v>
      </c>
      <c r="L1" s="690"/>
    </row>
    <row r="2" spans="1:28" s="152" customFormat="1" ht="20.25">
      <c r="A2" s="691" t="s">
        <v>376</v>
      </c>
      <c r="B2" s="691"/>
      <c r="C2" s="691"/>
      <c r="D2" s="691"/>
      <c r="E2" s="691"/>
      <c r="F2" s="691"/>
      <c r="G2" s="691"/>
      <c r="H2" s="691"/>
      <c r="I2" s="691"/>
      <c r="J2" s="691"/>
      <c r="K2" s="691"/>
      <c r="L2" s="691"/>
      <c r="M2" s="691"/>
      <c r="N2" s="150"/>
      <c r="O2" s="151"/>
      <c r="P2" s="151"/>
      <c r="Q2" s="151"/>
      <c r="R2" s="151"/>
      <c r="S2" s="151"/>
      <c r="T2" s="151"/>
      <c r="U2" s="151"/>
      <c r="Z2" s="153"/>
      <c r="AB2" s="294"/>
    </row>
    <row r="3" spans="1:28" s="279" customFormat="1" ht="20.25">
      <c r="A3" s="692" t="s">
        <v>377</v>
      </c>
      <c r="B3" s="695" t="s">
        <v>378</v>
      </c>
      <c r="C3" s="696"/>
      <c r="D3" s="696"/>
      <c r="E3" s="696"/>
      <c r="F3" s="696"/>
      <c r="G3" s="696"/>
      <c r="H3" s="696"/>
      <c r="I3" s="696"/>
      <c r="J3" s="696"/>
      <c r="K3" s="696"/>
      <c r="L3" s="696"/>
      <c r="M3" s="697"/>
      <c r="N3" s="692" t="s">
        <v>377</v>
      </c>
      <c r="O3" s="704" t="s">
        <v>379</v>
      </c>
      <c r="P3" s="704"/>
      <c r="Q3" s="704"/>
      <c r="R3" s="704"/>
      <c r="S3" s="704"/>
      <c r="T3" s="704"/>
      <c r="U3" s="704"/>
      <c r="V3" s="704"/>
      <c r="W3" s="704"/>
      <c r="X3" s="704"/>
      <c r="Y3" s="704"/>
      <c r="Z3" s="704"/>
      <c r="AA3" s="698" t="s">
        <v>380</v>
      </c>
      <c r="AB3" s="295"/>
    </row>
    <row r="4" spans="1:28" s="279" customFormat="1">
      <c r="A4" s="693"/>
      <c r="B4" s="700" t="s">
        <v>381</v>
      </c>
      <c r="C4" s="701"/>
      <c r="D4" s="701"/>
      <c r="E4" s="701"/>
      <c r="F4" s="701"/>
      <c r="G4" s="701"/>
      <c r="H4" s="702"/>
      <c r="I4" s="700" t="s">
        <v>382</v>
      </c>
      <c r="J4" s="701"/>
      <c r="K4" s="701"/>
      <c r="L4" s="701"/>
      <c r="M4" s="702"/>
      <c r="N4" s="693"/>
      <c r="O4" s="703" t="s">
        <v>381</v>
      </c>
      <c r="P4" s="703"/>
      <c r="Q4" s="703"/>
      <c r="R4" s="703"/>
      <c r="S4" s="703"/>
      <c r="T4" s="703"/>
      <c r="U4" s="703"/>
      <c r="V4" s="703" t="s">
        <v>382</v>
      </c>
      <c r="W4" s="703"/>
      <c r="X4" s="703"/>
      <c r="Y4" s="703"/>
      <c r="Z4" s="703"/>
      <c r="AA4" s="699"/>
      <c r="AB4" s="295"/>
    </row>
    <row r="5" spans="1:28" s="153" customFormat="1" ht="63">
      <c r="A5" s="694"/>
      <c r="B5" s="154" t="s">
        <v>383</v>
      </c>
      <c r="C5" s="154" t="s">
        <v>384</v>
      </c>
      <c r="D5" s="154" t="s">
        <v>468</v>
      </c>
      <c r="E5" s="177" t="s">
        <v>467</v>
      </c>
      <c r="F5" s="154" t="s">
        <v>385</v>
      </c>
      <c r="G5" s="154" t="s">
        <v>352</v>
      </c>
      <c r="H5" s="155" t="s">
        <v>108</v>
      </c>
      <c r="I5" s="156" t="s">
        <v>386</v>
      </c>
      <c r="J5" s="156" t="s">
        <v>387</v>
      </c>
      <c r="K5" s="154" t="s">
        <v>388</v>
      </c>
      <c r="L5" s="156" t="s">
        <v>389</v>
      </c>
      <c r="M5" s="155" t="s">
        <v>109</v>
      </c>
      <c r="N5" s="694"/>
      <c r="O5" s="154" t="s">
        <v>390</v>
      </c>
      <c r="P5" s="154" t="s">
        <v>391</v>
      </c>
      <c r="Q5" s="154" t="s">
        <v>468</v>
      </c>
      <c r="R5" s="154" t="s">
        <v>392</v>
      </c>
      <c r="S5" s="154" t="s">
        <v>385</v>
      </c>
      <c r="T5" s="154" t="s">
        <v>352</v>
      </c>
      <c r="U5" s="155" t="s">
        <v>108</v>
      </c>
      <c r="V5" s="156" t="s">
        <v>386</v>
      </c>
      <c r="W5" s="156" t="s">
        <v>387</v>
      </c>
      <c r="X5" s="154" t="s">
        <v>388</v>
      </c>
      <c r="Y5" s="156" t="s">
        <v>389</v>
      </c>
      <c r="Z5" s="155" t="s">
        <v>109</v>
      </c>
      <c r="AA5" s="699"/>
      <c r="AB5" s="296"/>
    </row>
    <row r="6" spans="1:28" s="160" customFormat="1" ht="31.5">
      <c r="A6" s="280" t="s">
        <v>393</v>
      </c>
      <c r="B6" s="157">
        <v>502873</v>
      </c>
      <c r="C6" s="157"/>
      <c r="D6" s="157"/>
      <c r="E6" s="157">
        <v>1075</v>
      </c>
      <c r="F6" s="157">
        <v>11738</v>
      </c>
      <c r="G6" s="157"/>
      <c r="H6" s="159">
        <f>SUM(B6:F6)</f>
        <v>515686</v>
      </c>
      <c r="I6" s="157">
        <v>417824</v>
      </c>
      <c r="J6" s="157">
        <v>90706</v>
      </c>
      <c r="K6" s="157">
        <v>7067</v>
      </c>
      <c r="L6" s="157">
        <v>89</v>
      </c>
      <c r="M6" s="159">
        <f t="shared" ref="M6:M11" si="0">SUM(I6:L6)</f>
        <v>515686</v>
      </c>
      <c r="N6" s="280" t="s">
        <v>393</v>
      </c>
      <c r="O6" s="157"/>
      <c r="P6" s="157"/>
      <c r="Q6" s="158"/>
      <c r="R6" s="157"/>
      <c r="S6" s="157"/>
      <c r="T6" s="157"/>
      <c r="U6" s="159">
        <f>SUM(O6:S6)</f>
        <v>0</v>
      </c>
      <c r="V6" s="157"/>
      <c r="W6" s="157"/>
      <c r="X6" s="157"/>
      <c r="Y6" s="157"/>
      <c r="Z6" s="159"/>
      <c r="AA6" s="286">
        <f>M6+Z6</f>
        <v>515686</v>
      </c>
      <c r="AB6" s="297">
        <v>0</v>
      </c>
    </row>
    <row r="7" spans="1:28" s="160" customFormat="1">
      <c r="A7" s="280" t="s">
        <v>394</v>
      </c>
      <c r="B7" s="165">
        <v>18314</v>
      </c>
      <c r="C7" s="165"/>
      <c r="D7" s="165"/>
      <c r="E7" s="157">
        <v>2000</v>
      </c>
      <c r="F7" s="157">
        <v>40527</v>
      </c>
      <c r="G7" s="157"/>
      <c r="H7" s="159">
        <f>SUM(B7:F7)</f>
        <v>60841</v>
      </c>
      <c r="I7" s="157">
        <v>43060</v>
      </c>
      <c r="J7" s="157">
        <v>8401</v>
      </c>
      <c r="K7" s="157">
        <v>9380</v>
      </c>
      <c r="L7" s="157"/>
      <c r="M7" s="159">
        <f t="shared" si="0"/>
        <v>60841</v>
      </c>
      <c r="N7" s="280" t="s">
        <v>394</v>
      </c>
      <c r="O7" s="165"/>
      <c r="P7" s="165"/>
      <c r="Q7" s="165"/>
      <c r="R7" s="157"/>
      <c r="S7" s="157"/>
      <c r="T7" s="157"/>
      <c r="U7" s="159">
        <f>SUM(O7:S7)</f>
        <v>0</v>
      </c>
      <c r="V7" s="157"/>
      <c r="W7" s="157"/>
      <c r="X7" s="157"/>
      <c r="Y7" s="157"/>
      <c r="Z7" s="159">
        <f t="shared" ref="Z7:Z13" si="1">SUM(V7:Y7)</f>
        <v>0</v>
      </c>
      <c r="AA7" s="286">
        <f>M7+Z7</f>
        <v>60841</v>
      </c>
      <c r="AB7" s="179"/>
    </row>
    <row r="8" spans="1:28" s="160" customFormat="1">
      <c r="A8" s="280" t="s">
        <v>312</v>
      </c>
      <c r="B8" s="165">
        <v>18314</v>
      </c>
      <c r="C8" s="165"/>
      <c r="D8" s="165"/>
      <c r="E8" s="157">
        <v>8089</v>
      </c>
      <c r="F8" s="157">
        <v>42627</v>
      </c>
      <c r="G8" s="157"/>
      <c r="H8" s="159">
        <f>SUM(B8:F8)</f>
        <v>69030</v>
      </c>
      <c r="I8" s="157">
        <v>34874</v>
      </c>
      <c r="J8" s="157">
        <v>6884</v>
      </c>
      <c r="K8" s="157">
        <v>26825</v>
      </c>
      <c r="L8" s="157">
        <v>447</v>
      </c>
      <c r="M8" s="159">
        <f t="shared" si="0"/>
        <v>69030</v>
      </c>
      <c r="N8" s="280" t="s">
        <v>395</v>
      </c>
      <c r="O8" s="165"/>
      <c r="P8" s="165"/>
      <c r="Q8" s="165"/>
      <c r="R8" s="157"/>
      <c r="S8" s="157"/>
      <c r="T8" s="157"/>
      <c r="U8" s="159">
        <f>SUM(O8:S8)</f>
        <v>0</v>
      </c>
      <c r="V8" s="157"/>
      <c r="W8" s="157"/>
      <c r="X8" s="157"/>
      <c r="Y8" s="157"/>
      <c r="Z8" s="159">
        <f>SUM(V8:Y8)</f>
        <v>0</v>
      </c>
      <c r="AA8" s="286">
        <f>M8+Z8</f>
        <v>69030</v>
      </c>
      <c r="AB8" s="179"/>
    </row>
    <row r="9" spans="1:28" s="160" customFormat="1" ht="37.5" customHeight="1">
      <c r="A9" s="280" t="s">
        <v>396</v>
      </c>
      <c r="B9" s="157">
        <v>335888</v>
      </c>
      <c r="C9" s="157"/>
      <c r="D9" s="157"/>
      <c r="E9" s="157">
        <v>7435</v>
      </c>
      <c r="F9" s="157">
        <v>17324</v>
      </c>
      <c r="G9" s="161"/>
      <c r="H9" s="159">
        <f>SUM(B9:F9)</f>
        <v>360647</v>
      </c>
      <c r="I9" s="157">
        <v>283677</v>
      </c>
      <c r="J9" s="157">
        <v>57320</v>
      </c>
      <c r="K9" s="157">
        <v>15650</v>
      </c>
      <c r="L9" s="157">
        <v>4000</v>
      </c>
      <c r="M9" s="159">
        <f t="shared" si="0"/>
        <v>360647</v>
      </c>
      <c r="N9" s="280" t="s">
        <v>396</v>
      </c>
      <c r="O9" s="158"/>
      <c r="P9" s="158"/>
      <c r="Q9" s="158"/>
      <c r="R9" s="157"/>
      <c r="S9" s="157"/>
      <c r="T9" s="157"/>
      <c r="U9" s="159"/>
      <c r="V9" s="157"/>
      <c r="W9" s="157"/>
      <c r="X9" s="157"/>
      <c r="Y9" s="157"/>
      <c r="Z9" s="159">
        <f t="shared" si="1"/>
        <v>0</v>
      </c>
      <c r="AA9" s="286">
        <f>M9+Z9</f>
        <v>360647</v>
      </c>
      <c r="AB9" s="179">
        <v>0</v>
      </c>
    </row>
    <row r="10" spans="1:28" s="164" customFormat="1">
      <c r="A10" s="280" t="s">
        <v>397</v>
      </c>
      <c r="B10" s="157">
        <v>53841</v>
      </c>
      <c r="C10" s="157"/>
      <c r="D10" s="157"/>
      <c r="E10" s="157">
        <v>40583</v>
      </c>
      <c r="F10" s="157">
        <v>-8178</v>
      </c>
      <c r="G10" s="157">
        <f>G11+G12+G13</f>
        <v>0</v>
      </c>
      <c r="H10" s="159">
        <f>SUM(B10:F10)</f>
        <v>86246</v>
      </c>
      <c r="I10" s="157">
        <v>62694</v>
      </c>
      <c r="J10" s="157">
        <v>12397</v>
      </c>
      <c r="K10" s="157">
        <v>10889</v>
      </c>
      <c r="L10" s="157">
        <v>266</v>
      </c>
      <c r="M10" s="159">
        <f t="shared" si="0"/>
        <v>86246</v>
      </c>
      <c r="N10" s="280" t="s">
        <v>397</v>
      </c>
      <c r="O10" s="290">
        <f t="shared" ref="O10:T10" si="2">O11+O12+O13</f>
        <v>215102</v>
      </c>
      <c r="P10" s="290">
        <f t="shared" si="2"/>
        <v>0</v>
      </c>
      <c r="Q10" s="290">
        <f t="shared" si="2"/>
        <v>0</v>
      </c>
      <c r="R10" s="290">
        <f t="shared" si="2"/>
        <v>199817</v>
      </c>
      <c r="S10" s="290">
        <f t="shared" si="2"/>
        <v>114864</v>
      </c>
      <c r="T10" s="290">
        <f t="shared" si="2"/>
        <v>0</v>
      </c>
      <c r="U10" s="159">
        <f>SUM(O10:S10)</f>
        <v>529783</v>
      </c>
      <c r="V10" s="158">
        <f>V11+V12+V13</f>
        <v>297635</v>
      </c>
      <c r="W10" s="158">
        <f>W11+W12+W13</f>
        <v>60137</v>
      </c>
      <c r="X10" s="158">
        <f>X11+X12+X13</f>
        <v>172011</v>
      </c>
      <c r="Y10" s="158">
        <f>Y11+Y12+Y13</f>
        <v>0</v>
      </c>
      <c r="Z10" s="159">
        <f t="shared" si="1"/>
        <v>529783</v>
      </c>
      <c r="AA10" s="286">
        <f>M10+Z10</f>
        <v>616029</v>
      </c>
      <c r="AB10" s="179"/>
    </row>
    <row r="11" spans="1:28" s="292" customFormat="1">
      <c r="A11" s="282"/>
      <c r="B11" s="291"/>
      <c r="C11" s="291"/>
      <c r="D11" s="291"/>
      <c r="E11" s="291"/>
      <c r="F11" s="291"/>
      <c r="G11" s="291"/>
      <c r="H11" s="163">
        <f>SUM(B11:G11)</f>
        <v>0</v>
      </c>
      <c r="I11" s="291"/>
      <c r="J11" s="291"/>
      <c r="K11" s="291"/>
      <c r="L11" s="291"/>
      <c r="M11" s="163">
        <f t="shared" si="0"/>
        <v>0</v>
      </c>
      <c r="N11" s="284" t="s">
        <v>398</v>
      </c>
      <c r="O11" s="291">
        <v>202702</v>
      </c>
      <c r="P11" s="291"/>
      <c r="Q11" s="291"/>
      <c r="R11" s="291">
        <v>199014</v>
      </c>
      <c r="S11" s="291">
        <v>106360</v>
      </c>
      <c r="T11" s="291"/>
      <c r="U11" s="163">
        <f>SUM(O11:S11)</f>
        <v>508076</v>
      </c>
      <c r="V11" s="291">
        <v>283710</v>
      </c>
      <c r="W11" s="291">
        <v>57316</v>
      </c>
      <c r="X11" s="291">
        <v>167050</v>
      </c>
      <c r="Y11" s="291"/>
      <c r="Z11" s="163">
        <f t="shared" si="1"/>
        <v>508076</v>
      </c>
      <c r="AA11" s="289"/>
      <c r="AB11" s="178"/>
    </row>
    <row r="12" spans="1:28" s="292" customFormat="1">
      <c r="A12" s="283"/>
      <c r="B12" s="291"/>
      <c r="C12" s="291"/>
      <c r="D12" s="291"/>
      <c r="E12" s="291"/>
      <c r="F12" s="291"/>
      <c r="G12" s="291"/>
      <c r="H12" s="163"/>
      <c r="I12" s="291"/>
      <c r="J12" s="291"/>
      <c r="K12" s="291"/>
      <c r="L12" s="291"/>
      <c r="M12" s="163"/>
      <c r="N12" s="284" t="s">
        <v>399</v>
      </c>
      <c r="O12" s="291">
        <v>12400</v>
      </c>
      <c r="P12" s="291"/>
      <c r="Q12" s="291"/>
      <c r="R12" s="291"/>
      <c r="S12" s="291">
        <v>4051</v>
      </c>
      <c r="T12" s="291"/>
      <c r="U12" s="163">
        <f>SUM(O12:S12)</f>
        <v>16451</v>
      </c>
      <c r="V12" s="291">
        <v>10116</v>
      </c>
      <c r="W12" s="291">
        <v>2075</v>
      </c>
      <c r="X12" s="291">
        <v>4260</v>
      </c>
      <c r="Y12" s="291"/>
      <c r="Z12" s="163">
        <f t="shared" si="1"/>
        <v>16451</v>
      </c>
      <c r="AA12" s="289"/>
      <c r="AB12" s="178"/>
    </row>
    <row r="13" spans="1:28" s="292" customFormat="1">
      <c r="A13" s="283"/>
      <c r="B13" s="291"/>
      <c r="C13" s="291"/>
      <c r="D13" s="291"/>
      <c r="E13" s="291"/>
      <c r="F13" s="291"/>
      <c r="G13" s="291"/>
      <c r="H13" s="159"/>
      <c r="I13" s="291"/>
      <c r="J13" s="291"/>
      <c r="K13" s="291"/>
      <c r="L13" s="291"/>
      <c r="M13" s="159"/>
      <c r="N13" s="284" t="s">
        <v>400</v>
      </c>
      <c r="O13" s="291"/>
      <c r="P13" s="291"/>
      <c r="Q13" s="291"/>
      <c r="R13" s="291">
        <v>803</v>
      </c>
      <c r="S13" s="291">
        <v>4453</v>
      </c>
      <c r="T13" s="291"/>
      <c r="U13" s="163">
        <f>SUM(O13:S13)</f>
        <v>5256</v>
      </c>
      <c r="V13" s="291">
        <v>3809</v>
      </c>
      <c r="W13" s="291">
        <v>746</v>
      </c>
      <c r="X13" s="291">
        <v>701</v>
      </c>
      <c r="Y13" s="291"/>
      <c r="Z13" s="163">
        <f t="shared" si="1"/>
        <v>5256</v>
      </c>
      <c r="AA13" s="289"/>
      <c r="AB13" s="178"/>
    </row>
    <row r="14" spans="1:28" s="166" customFormat="1">
      <c r="A14" s="280" t="s">
        <v>355</v>
      </c>
      <c r="B14" s="165"/>
      <c r="C14" s="165"/>
      <c r="D14" s="165">
        <v>92368</v>
      </c>
      <c r="E14" s="165"/>
      <c r="F14" s="165"/>
      <c r="G14" s="165"/>
      <c r="H14" s="159">
        <f>SUM(B14:F14)</f>
        <v>92368</v>
      </c>
      <c r="I14" s="165">
        <v>70489</v>
      </c>
      <c r="J14" s="165">
        <v>14116</v>
      </c>
      <c r="K14" s="165">
        <v>6933</v>
      </c>
      <c r="L14" s="165">
        <v>830</v>
      </c>
      <c r="M14" s="159">
        <f>SUM(I14:L14)</f>
        <v>92368</v>
      </c>
      <c r="N14" s="280" t="s">
        <v>355</v>
      </c>
      <c r="O14" s="165"/>
      <c r="P14" s="165"/>
      <c r="Q14" s="165"/>
      <c r="R14" s="165"/>
      <c r="S14" s="165"/>
      <c r="T14" s="165"/>
      <c r="U14" s="159"/>
      <c r="V14" s="165"/>
      <c r="W14" s="165"/>
      <c r="X14" s="165"/>
      <c r="Y14" s="165"/>
      <c r="Z14" s="159"/>
      <c r="AA14" s="286">
        <f t="shared" ref="AA14:AA15" si="3">M14+Z14</f>
        <v>92368</v>
      </c>
      <c r="AB14" s="178"/>
    </row>
    <row r="15" spans="1:28" s="160" customFormat="1">
      <c r="A15" s="280" t="s">
        <v>353</v>
      </c>
      <c r="B15" s="157">
        <v>20757</v>
      </c>
      <c r="C15" s="157">
        <v>42322</v>
      </c>
      <c r="D15" s="157"/>
      <c r="E15" s="157">
        <v>1002</v>
      </c>
      <c r="F15" s="157">
        <v>16079</v>
      </c>
      <c r="G15" s="157"/>
      <c r="H15" s="159">
        <f t="shared" ref="H15:H16" si="4">SUM(B15:F15)</f>
        <v>80160</v>
      </c>
      <c r="I15" s="157">
        <v>30099</v>
      </c>
      <c r="J15" s="157">
        <v>5911</v>
      </c>
      <c r="K15" s="157">
        <v>27276</v>
      </c>
      <c r="L15" s="157">
        <v>16874</v>
      </c>
      <c r="M15" s="159">
        <f>SUM(I15:L15)</f>
        <v>80160</v>
      </c>
      <c r="N15" s="280" t="s">
        <v>353</v>
      </c>
      <c r="O15" s="157"/>
      <c r="P15" s="157"/>
      <c r="Q15" s="157"/>
      <c r="R15" s="157"/>
      <c r="S15" s="157"/>
      <c r="T15" s="157"/>
      <c r="U15" s="159">
        <f>SUM(O15:S15)</f>
        <v>0</v>
      </c>
      <c r="V15" s="157"/>
      <c r="W15" s="157"/>
      <c r="X15" s="157"/>
      <c r="Y15" s="157"/>
      <c r="Z15" s="159">
        <f>SUM(V15:Y15)</f>
        <v>0</v>
      </c>
      <c r="AA15" s="286">
        <f t="shared" si="3"/>
        <v>80160</v>
      </c>
      <c r="AB15" s="179"/>
    </row>
    <row r="16" spans="1:28" s="164" customFormat="1">
      <c r="A16" s="281" t="s">
        <v>354</v>
      </c>
      <c r="B16" s="157">
        <v>393865</v>
      </c>
      <c r="C16" s="157"/>
      <c r="D16" s="157"/>
      <c r="E16" s="157">
        <v>155726</v>
      </c>
      <c r="F16" s="157">
        <v>429358</v>
      </c>
      <c r="G16" s="157"/>
      <c r="H16" s="159">
        <f t="shared" si="4"/>
        <v>978949</v>
      </c>
      <c r="I16" s="157">
        <v>512373</v>
      </c>
      <c r="J16" s="157">
        <v>99346</v>
      </c>
      <c r="K16" s="157">
        <v>362839</v>
      </c>
      <c r="L16" s="157">
        <v>4391</v>
      </c>
      <c r="M16" s="159">
        <f>SUM(I16:L16)</f>
        <v>978949</v>
      </c>
      <c r="N16" s="280" t="s">
        <v>354</v>
      </c>
      <c r="O16" s="158">
        <f t="shared" ref="O16:T16" si="5">O17</f>
        <v>5400</v>
      </c>
      <c r="P16" s="158">
        <f t="shared" si="5"/>
        <v>0</v>
      </c>
      <c r="Q16" s="158">
        <f t="shared" si="5"/>
        <v>0</v>
      </c>
      <c r="R16" s="158">
        <f t="shared" si="5"/>
        <v>0</v>
      </c>
      <c r="S16" s="158">
        <f t="shared" si="5"/>
        <v>17797</v>
      </c>
      <c r="T16" s="158">
        <f t="shared" si="5"/>
        <v>0</v>
      </c>
      <c r="U16" s="163">
        <f>SUM(O16:S16)</f>
        <v>23197</v>
      </c>
      <c r="V16" s="158">
        <f>V17</f>
        <v>18787</v>
      </c>
      <c r="W16" s="158">
        <f>W17</f>
        <v>2550</v>
      </c>
      <c r="X16" s="158">
        <f>X17</f>
        <v>1860</v>
      </c>
      <c r="Y16" s="158">
        <f>Y17</f>
        <v>0</v>
      </c>
      <c r="Z16" s="163">
        <f>SUM(V16:Y16)</f>
        <v>23197</v>
      </c>
      <c r="AA16" s="172">
        <f>M16+Z16</f>
        <v>1002146</v>
      </c>
      <c r="AB16" s="179">
        <v>0</v>
      </c>
    </row>
    <row r="17" spans="1:28" s="164" customFormat="1">
      <c r="A17" s="167"/>
      <c r="B17" s="169"/>
      <c r="C17" s="169"/>
      <c r="D17" s="169"/>
      <c r="E17" s="169"/>
      <c r="F17" s="169"/>
      <c r="G17" s="169"/>
      <c r="H17" s="289"/>
      <c r="I17" s="169"/>
      <c r="J17" s="169"/>
      <c r="K17" s="169"/>
      <c r="L17" s="169"/>
      <c r="M17" s="159"/>
      <c r="N17" s="167" t="s">
        <v>401</v>
      </c>
      <c r="O17" s="168">
        <v>5400</v>
      </c>
      <c r="P17" s="168"/>
      <c r="Q17" s="168"/>
      <c r="R17" s="169"/>
      <c r="S17" s="169">
        <v>17797</v>
      </c>
      <c r="T17" s="169"/>
      <c r="U17" s="163">
        <f>SUM(O17:S17)</f>
        <v>23197</v>
      </c>
      <c r="V17" s="169">
        <f>5711+13076</f>
        <v>18787</v>
      </c>
      <c r="W17" s="169">
        <v>2550</v>
      </c>
      <c r="X17" s="169">
        <v>1860</v>
      </c>
      <c r="Y17" s="169"/>
      <c r="Z17" s="163">
        <f>SUM(V17:Y17)</f>
        <v>23197</v>
      </c>
      <c r="AA17" s="289">
        <f>SUM(Z17)</f>
        <v>23197</v>
      </c>
      <c r="AB17" s="179"/>
    </row>
    <row r="18" spans="1:28" s="164" customFormat="1">
      <c r="A18" s="281" t="s">
        <v>402</v>
      </c>
      <c r="B18" s="287">
        <v>310771</v>
      </c>
      <c r="C18" s="287">
        <v>1694303</v>
      </c>
      <c r="D18" s="287"/>
      <c r="E18" s="287">
        <v>1480256</v>
      </c>
      <c r="F18" s="287"/>
      <c r="G18" s="287">
        <v>3160878</v>
      </c>
      <c r="H18" s="159">
        <f>SUM(B18:G18)</f>
        <v>6646208</v>
      </c>
      <c r="I18" s="287">
        <v>339583</v>
      </c>
      <c r="J18" s="287">
        <v>50202</v>
      </c>
      <c r="K18" s="287">
        <f>950660-71419</f>
        <v>879241</v>
      </c>
      <c r="L18" s="287">
        <f>5305763+71419</f>
        <v>5377182</v>
      </c>
      <c r="M18" s="159">
        <f>SUM(I18:L18)</f>
        <v>6646208</v>
      </c>
      <c r="N18" s="281" t="s">
        <v>402</v>
      </c>
      <c r="O18" s="287">
        <f t="shared" ref="O18:Z18" si="6">SUM(O19:O26)</f>
        <v>383</v>
      </c>
      <c r="P18" s="287">
        <f t="shared" si="6"/>
        <v>0</v>
      </c>
      <c r="Q18" s="287">
        <f t="shared" si="6"/>
        <v>0</v>
      </c>
      <c r="R18" s="287">
        <f t="shared" si="6"/>
        <v>12700</v>
      </c>
      <c r="S18" s="287">
        <f t="shared" si="6"/>
        <v>538833</v>
      </c>
      <c r="T18" s="287">
        <f t="shared" si="6"/>
        <v>0</v>
      </c>
      <c r="U18" s="159">
        <f t="shared" si="6"/>
        <v>551916</v>
      </c>
      <c r="V18" s="287">
        <f t="shared" si="6"/>
        <v>12034</v>
      </c>
      <c r="W18" s="287">
        <f t="shared" si="6"/>
        <v>0</v>
      </c>
      <c r="X18" s="287">
        <f t="shared" si="6"/>
        <v>492483</v>
      </c>
      <c r="Y18" s="287">
        <f t="shared" si="6"/>
        <v>47399</v>
      </c>
      <c r="Z18" s="159">
        <f t="shared" si="6"/>
        <v>551916</v>
      </c>
      <c r="AA18" s="172">
        <f>M18+Z18</f>
        <v>7198124</v>
      </c>
      <c r="AB18" s="179">
        <v>0</v>
      </c>
    </row>
    <row r="19" spans="1:28" s="164" customFormat="1">
      <c r="A19" s="162"/>
      <c r="B19" s="170"/>
      <c r="C19" s="170"/>
      <c r="D19" s="170"/>
      <c r="E19" s="170"/>
      <c r="F19" s="170"/>
      <c r="G19" s="170"/>
      <c r="H19" s="163"/>
      <c r="I19" s="170"/>
      <c r="J19" s="170"/>
      <c r="K19" s="170"/>
      <c r="L19" s="170"/>
      <c r="M19" s="163">
        <f t="shared" ref="M19:M26" si="7">SUM(I19:L19)</f>
        <v>0</v>
      </c>
      <c r="N19" s="284" t="s">
        <v>403</v>
      </c>
      <c r="O19" s="288"/>
      <c r="P19" s="288"/>
      <c r="Q19" s="288"/>
      <c r="R19" s="170"/>
      <c r="S19" s="170">
        <v>493613</v>
      </c>
      <c r="T19" s="170"/>
      <c r="U19" s="163">
        <f t="shared" ref="U19:U23" si="8">SUM(O19:T19)</f>
        <v>493613</v>
      </c>
      <c r="V19" s="170"/>
      <c r="W19" s="170"/>
      <c r="X19" s="170">
        <f>493613-47399</f>
        <v>446214</v>
      </c>
      <c r="Y19" s="170">
        <v>47399</v>
      </c>
      <c r="Z19" s="163">
        <f t="shared" ref="Z19:Z23" si="9">SUM(V19:Y19)</f>
        <v>493613</v>
      </c>
      <c r="AA19" s="169">
        <f>M19+Z19</f>
        <v>493613</v>
      </c>
      <c r="AB19" s="179"/>
    </row>
    <row r="20" spans="1:28" s="164" customFormat="1">
      <c r="A20" s="284"/>
      <c r="B20" s="169"/>
      <c r="C20" s="169"/>
      <c r="D20" s="169"/>
      <c r="E20" s="169"/>
      <c r="F20" s="169"/>
      <c r="G20" s="169"/>
      <c r="H20" s="163"/>
      <c r="I20" s="169"/>
      <c r="J20" s="169"/>
      <c r="K20" s="169"/>
      <c r="L20" s="169"/>
      <c r="M20" s="163">
        <f t="shared" si="7"/>
        <v>0</v>
      </c>
      <c r="N20" s="284" t="s">
        <v>407</v>
      </c>
      <c r="O20" s="288"/>
      <c r="P20" s="288"/>
      <c r="Q20" s="288"/>
      <c r="R20" s="170"/>
      <c r="S20" s="170">
        <v>3300</v>
      </c>
      <c r="T20" s="170"/>
      <c r="U20" s="163">
        <f t="shared" si="8"/>
        <v>3300</v>
      </c>
      <c r="V20" s="170"/>
      <c r="W20" s="170"/>
      <c r="X20" s="170">
        <v>3300</v>
      </c>
      <c r="Y20" s="170"/>
      <c r="Z20" s="163">
        <f t="shared" si="9"/>
        <v>3300</v>
      </c>
      <c r="AA20" s="169">
        <f>M20+Z20</f>
        <v>3300</v>
      </c>
      <c r="AB20" s="179"/>
    </row>
    <row r="21" spans="1:28" s="164" customFormat="1">
      <c r="A21" s="284"/>
      <c r="B21" s="169"/>
      <c r="C21" s="169"/>
      <c r="D21" s="169"/>
      <c r="E21" s="169"/>
      <c r="F21" s="169"/>
      <c r="G21" s="169"/>
      <c r="H21" s="163"/>
      <c r="I21" s="169"/>
      <c r="J21" s="169"/>
      <c r="K21" s="169"/>
      <c r="L21" s="169"/>
      <c r="M21" s="163">
        <f t="shared" si="7"/>
        <v>0</v>
      </c>
      <c r="N21" s="284" t="s">
        <v>404</v>
      </c>
      <c r="O21" s="288"/>
      <c r="P21" s="288"/>
      <c r="Q21" s="288"/>
      <c r="R21" s="170"/>
      <c r="S21" s="170">
        <v>700</v>
      </c>
      <c r="T21" s="170"/>
      <c r="U21" s="163">
        <f t="shared" si="8"/>
        <v>700</v>
      </c>
      <c r="V21" s="170"/>
      <c r="W21" s="170"/>
      <c r="X21" s="170">
        <v>700</v>
      </c>
      <c r="Y21" s="170"/>
      <c r="Z21" s="163">
        <f t="shared" si="9"/>
        <v>700</v>
      </c>
      <c r="AA21" s="169">
        <f t="shared" ref="AA21:AA23" si="10">M21+Z21</f>
        <v>700</v>
      </c>
      <c r="AB21" s="179"/>
    </row>
    <row r="22" spans="1:28" s="160" customFormat="1">
      <c r="A22" s="284"/>
      <c r="B22" s="169"/>
      <c r="C22" s="169"/>
      <c r="D22" s="169"/>
      <c r="E22" s="169"/>
      <c r="F22" s="169"/>
      <c r="G22" s="169"/>
      <c r="H22" s="163"/>
      <c r="I22" s="169"/>
      <c r="J22" s="169"/>
      <c r="K22" s="169"/>
      <c r="L22" s="169"/>
      <c r="M22" s="163">
        <f t="shared" si="7"/>
        <v>0</v>
      </c>
      <c r="N22" s="284" t="s">
        <v>469</v>
      </c>
      <c r="O22" s="168"/>
      <c r="P22" s="168"/>
      <c r="Q22" s="168"/>
      <c r="R22" s="169"/>
      <c r="S22" s="169">
        <v>37034</v>
      </c>
      <c r="T22" s="169"/>
      <c r="U22" s="163">
        <f t="shared" si="8"/>
        <v>37034</v>
      </c>
      <c r="V22" s="169">
        <v>12034</v>
      </c>
      <c r="W22" s="169"/>
      <c r="X22" s="169">
        <v>25000</v>
      </c>
      <c r="Y22" s="169"/>
      <c r="Z22" s="163">
        <f t="shared" si="9"/>
        <v>37034</v>
      </c>
      <c r="AA22" s="169">
        <f>M22+Z22</f>
        <v>37034</v>
      </c>
      <c r="AB22" s="179"/>
    </row>
    <row r="23" spans="1:28" s="164" customFormat="1">
      <c r="A23" s="162"/>
      <c r="B23" s="170"/>
      <c r="C23" s="170"/>
      <c r="D23" s="170"/>
      <c r="E23" s="170"/>
      <c r="F23" s="170"/>
      <c r="G23" s="170"/>
      <c r="H23" s="163"/>
      <c r="I23" s="169"/>
      <c r="J23" s="169"/>
      <c r="K23" s="169"/>
      <c r="L23" s="169"/>
      <c r="M23" s="163">
        <f t="shared" si="7"/>
        <v>0</v>
      </c>
      <c r="N23" s="284" t="s">
        <v>405</v>
      </c>
      <c r="O23" s="168">
        <v>383</v>
      </c>
      <c r="P23" s="168"/>
      <c r="Q23" s="168"/>
      <c r="R23" s="169"/>
      <c r="S23" s="169">
        <v>886</v>
      </c>
      <c r="T23" s="169"/>
      <c r="U23" s="163">
        <f t="shared" si="8"/>
        <v>1269</v>
      </c>
      <c r="V23" s="169"/>
      <c r="W23" s="169"/>
      <c r="X23" s="169">
        <v>1269</v>
      </c>
      <c r="Y23" s="169"/>
      <c r="Z23" s="163">
        <f t="shared" si="9"/>
        <v>1269</v>
      </c>
      <c r="AA23" s="169">
        <f t="shared" si="10"/>
        <v>1269</v>
      </c>
      <c r="AB23" s="179"/>
    </row>
    <row r="24" spans="1:28" s="164" customFormat="1">
      <c r="A24" s="285"/>
      <c r="B24" s="169"/>
      <c r="C24" s="170"/>
      <c r="D24" s="170"/>
      <c r="E24" s="170"/>
      <c r="F24" s="170"/>
      <c r="G24" s="169"/>
      <c r="H24" s="163"/>
      <c r="I24" s="169"/>
      <c r="J24" s="169"/>
      <c r="K24" s="169"/>
      <c r="L24" s="169"/>
      <c r="M24" s="163">
        <f>SUM(I24:L24)</f>
        <v>0</v>
      </c>
      <c r="N24" s="285" t="s">
        <v>406</v>
      </c>
      <c r="O24" s="168"/>
      <c r="P24" s="168"/>
      <c r="Q24" s="168"/>
      <c r="R24" s="169">
        <v>12700</v>
      </c>
      <c r="S24" s="169">
        <v>3300</v>
      </c>
      <c r="T24" s="169"/>
      <c r="U24" s="163">
        <f>SUM(O24:T24)</f>
        <v>16000</v>
      </c>
      <c r="V24" s="169"/>
      <c r="W24" s="169"/>
      <c r="X24" s="169">
        <v>16000</v>
      </c>
      <c r="Y24" s="169"/>
      <c r="Z24" s="163">
        <f>SUM(V24:Y24)</f>
        <v>16000</v>
      </c>
      <c r="AA24" s="169">
        <f>M24+Z24</f>
        <v>16000</v>
      </c>
      <c r="AB24" s="179"/>
    </row>
    <row r="25" spans="1:28" s="160" customFormat="1">
      <c r="A25" s="284"/>
      <c r="B25" s="169"/>
      <c r="C25" s="169"/>
      <c r="D25" s="169"/>
      <c r="E25" s="169"/>
      <c r="F25" s="169"/>
      <c r="G25" s="169"/>
      <c r="H25" s="163"/>
      <c r="I25" s="169"/>
      <c r="J25" s="169"/>
      <c r="K25" s="169"/>
      <c r="L25" s="169"/>
      <c r="M25" s="163">
        <f>SUM(I25:L25)</f>
        <v>0</v>
      </c>
      <c r="N25" s="285"/>
      <c r="O25" s="168"/>
      <c r="P25" s="168"/>
      <c r="Q25" s="168"/>
      <c r="R25" s="169"/>
      <c r="S25" s="169"/>
      <c r="T25" s="169"/>
      <c r="U25" s="163">
        <f>SUM(O25:T25)</f>
        <v>0</v>
      </c>
      <c r="V25" s="169"/>
      <c r="W25" s="169"/>
      <c r="X25" s="169"/>
      <c r="Y25" s="169"/>
      <c r="Z25" s="163">
        <f>SUM(V25:Y25)</f>
        <v>0</v>
      </c>
      <c r="AA25" s="169">
        <f>M25+Z25</f>
        <v>0</v>
      </c>
      <c r="AB25" s="179"/>
    </row>
    <row r="26" spans="1:28" s="160" customFormat="1">
      <c r="A26" s="285"/>
      <c r="B26" s="169"/>
      <c r="C26" s="169"/>
      <c r="D26" s="169"/>
      <c r="E26" s="169"/>
      <c r="F26" s="169"/>
      <c r="G26" s="169"/>
      <c r="H26" s="163"/>
      <c r="I26" s="169"/>
      <c r="J26" s="169"/>
      <c r="K26" s="169"/>
      <c r="L26" s="169"/>
      <c r="M26" s="163">
        <f t="shared" si="7"/>
        <v>0</v>
      </c>
      <c r="N26" s="179"/>
      <c r="O26" s="168"/>
      <c r="P26" s="168"/>
      <c r="Q26" s="168"/>
      <c r="R26" s="169"/>
      <c r="S26" s="169"/>
      <c r="T26" s="169"/>
      <c r="U26" s="163">
        <f>SUM(O26:T26)</f>
        <v>0</v>
      </c>
      <c r="V26" s="169"/>
      <c r="W26" s="169"/>
      <c r="X26" s="169"/>
      <c r="Y26" s="169"/>
      <c r="Z26" s="163">
        <f>SUM(V26:Y26)</f>
        <v>0</v>
      </c>
      <c r="AA26" s="169">
        <f>M26+Z26</f>
        <v>0</v>
      </c>
      <c r="AB26" s="179"/>
    </row>
    <row r="27" spans="1:28" s="173" customFormat="1">
      <c r="A27" s="171" t="s">
        <v>357</v>
      </c>
      <c r="B27" s="172">
        <f>B6+B7+B8+B9+B10+B14+B15+B16+B18</f>
        <v>1654623</v>
      </c>
      <c r="C27" s="172">
        <f t="shared" ref="C27:M27" si="11">C6+C7+C8+C9+C10+C14+C15+C16+C18</f>
        <v>1736625</v>
      </c>
      <c r="D27" s="172">
        <f t="shared" si="11"/>
        <v>92368</v>
      </c>
      <c r="E27" s="172">
        <f t="shared" si="11"/>
        <v>1696166</v>
      </c>
      <c r="F27" s="172">
        <f t="shared" si="11"/>
        <v>549475</v>
      </c>
      <c r="G27" s="172">
        <f t="shared" si="11"/>
        <v>3160878</v>
      </c>
      <c r="H27" s="172">
        <f t="shared" si="11"/>
        <v>8890135</v>
      </c>
      <c r="I27" s="172">
        <f t="shared" si="11"/>
        <v>1794673</v>
      </c>
      <c r="J27" s="172">
        <f t="shared" si="11"/>
        <v>345283</v>
      </c>
      <c r="K27" s="172">
        <f t="shared" si="11"/>
        <v>1346100</v>
      </c>
      <c r="L27" s="172">
        <f t="shared" si="11"/>
        <v>5404079</v>
      </c>
      <c r="M27" s="172">
        <f t="shared" si="11"/>
        <v>8890135</v>
      </c>
      <c r="N27" s="171" t="s">
        <v>357</v>
      </c>
      <c r="O27" s="172">
        <f>O6+O7+O8+O9+O10+O14+O15+O16+O18</f>
        <v>220885</v>
      </c>
      <c r="P27" s="172">
        <f t="shared" ref="P27:AA27" si="12">P6+P7+P8+P9+P10+P14+P15+P16+P18</f>
        <v>0</v>
      </c>
      <c r="Q27" s="172">
        <f t="shared" si="12"/>
        <v>0</v>
      </c>
      <c r="R27" s="172">
        <f t="shared" si="12"/>
        <v>212517</v>
      </c>
      <c r="S27" s="172">
        <f t="shared" si="12"/>
        <v>671494</v>
      </c>
      <c r="T27" s="172">
        <f t="shared" si="12"/>
        <v>0</v>
      </c>
      <c r="U27" s="172">
        <f t="shared" si="12"/>
        <v>1104896</v>
      </c>
      <c r="V27" s="172">
        <f t="shared" si="12"/>
        <v>328456</v>
      </c>
      <c r="W27" s="172">
        <f t="shared" si="12"/>
        <v>62687</v>
      </c>
      <c r="X27" s="172">
        <f t="shared" si="12"/>
        <v>666354</v>
      </c>
      <c r="Y27" s="172">
        <f t="shared" si="12"/>
        <v>47399</v>
      </c>
      <c r="Z27" s="172">
        <f t="shared" si="12"/>
        <v>1104896</v>
      </c>
      <c r="AA27" s="172">
        <f t="shared" si="12"/>
        <v>9995031</v>
      </c>
      <c r="AB27" s="179"/>
    </row>
    <row r="28" spans="1:28">
      <c r="A28" s="174"/>
      <c r="B28" s="175"/>
      <c r="C28" s="175"/>
      <c r="D28" s="175"/>
    </row>
    <row r="29" spans="1:28">
      <c r="B29" s="148">
        <f>B27+O27</f>
        <v>1875508</v>
      </c>
      <c r="C29" s="148">
        <f t="shared" ref="C29:M29" si="13">C27+P27</f>
        <v>1736625</v>
      </c>
      <c r="D29" s="148">
        <f t="shared" si="13"/>
        <v>92368</v>
      </c>
      <c r="E29" s="148">
        <f t="shared" si="13"/>
        <v>1908683</v>
      </c>
      <c r="F29" s="148">
        <f>F27+S27</f>
        <v>1220969</v>
      </c>
      <c r="G29" s="148">
        <f t="shared" si="13"/>
        <v>3160878</v>
      </c>
      <c r="H29" s="148">
        <f>H27+U27</f>
        <v>9995031</v>
      </c>
      <c r="I29" s="148">
        <f t="shared" si="13"/>
        <v>2123129</v>
      </c>
      <c r="J29" s="148">
        <f t="shared" si="13"/>
        <v>407970</v>
      </c>
      <c r="K29" s="148">
        <f t="shared" si="13"/>
        <v>2012454</v>
      </c>
      <c r="L29" s="148">
        <f t="shared" si="13"/>
        <v>5451478</v>
      </c>
      <c r="M29" s="148">
        <f t="shared" si="13"/>
        <v>9995031</v>
      </c>
    </row>
    <row r="30" spans="1:28">
      <c r="A30" s="176"/>
    </row>
    <row r="31" spans="1:28">
      <c r="A31" s="176"/>
    </row>
  </sheetData>
  <mergeCells count="11">
    <mergeCell ref="AA3:AA5"/>
    <mergeCell ref="B4:H4"/>
    <mergeCell ref="I4:M4"/>
    <mergeCell ref="O4:U4"/>
    <mergeCell ref="V4:Z4"/>
    <mergeCell ref="O3:Z3"/>
    <mergeCell ref="K1:L1"/>
    <mergeCell ref="A2:M2"/>
    <mergeCell ref="A3:A5"/>
    <mergeCell ref="B3:M3"/>
    <mergeCell ref="N3:N5"/>
  </mergeCells>
  <printOptions horizontalCentered="1" verticalCentered="1"/>
  <pageMargins left="0.31496062992125984" right="0.31496062992125984" top="0.35433070866141736" bottom="0.15748031496062992" header="0.31496062992125984" footer="0.31496062992125984"/>
  <pageSetup paperSize="9" scale="81" orientation="landscape" r:id="rId1"/>
  <colBreaks count="1" manualBreakCount="1">
    <brk id="13" max="26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F259"/>
  <sheetViews>
    <sheetView view="pageBreakPreview" zoomScaleNormal="100" zoomScaleSheetLayoutView="100" workbookViewId="0">
      <selection activeCell="AK66" sqref="AK66"/>
    </sheetView>
  </sheetViews>
  <sheetFormatPr defaultColWidth="0" defaultRowHeight="15"/>
  <cols>
    <col min="1" max="1" width="65.7109375" style="1" customWidth="1"/>
    <col min="2" max="4" width="14.28515625" style="2" hidden="1" customWidth="1"/>
    <col min="5" max="5" width="12.7109375" style="2" hidden="1" customWidth="1"/>
    <col min="6" max="6" width="12.85546875" style="2" hidden="1" customWidth="1"/>
    <col min="7" max="10" width="12.7109375" style="2" hidden="1" customWidth="1"/>
    <col min="11" max="15" width="14.28515625" style="2" hidden="1" customWidth="1"/>
    <col min="16" max="16" width="13.42578125" style="2" hidden="1" customWidth="1"/>
    <col min="17" max="17" width="13.140625" style="2" hidden="1" customWidth="1"/>
    <col min="18" max="24" width="14.28515625" style="2" hidden="1" customWidth="1"/>
    <col min="25" max="25" width="11.85546875" style="2" hidden="1" customWidth="1"/>
    <col min="26" max="26" width="14.28515625" style="2" hidden="1" customWidth="1"/>
    <col min="27" max="27" width="13" style="2" hidden="1" customWidth="1"/>
    <col min="28" max="33" width="14.28515625" style="2" hidden="1" customWidth="1"/>
    <col min="34" max="34" width="0.140625" style="2" hidden="1" customWidth="1"/>
    <col min="35" max="35" width="14" style="2" customWidth="1"/>
    <col min="36" max="36" width="11.28515625" style="2" customWidth="1"/>
    <col min="37" max="37" width="14" style="2" customWidth="1"/>
    <col min="38" max="38" width="46" style="1" customWidth="1"/>
    <col min="39" max="39" width="13.85546875" style="3" hidden="1" customWidth="1"/>
    <col min="40" max="40" width="12.28515625" style="3" hidden="1" customWidth="1"/>
    <col min="41" max="49" width="12.85546875" style="3" hidden="1" customWidth="1"/>
    <col min="50" max="50" width="14.5703125" style="3" hidden="1" customWidth="1"/>
    <col min="51" max="57" width="14.42578125" style="3" hidden="1" customWidth="1"/>
    <col min="58" max="58" width="12.85546875" style="3" customWidth="1"/>
    <col min="59" max="59" width="11.42578125" style="3" customWidth="1"/>
    <col min="60" max="60" width="12.7109375" style="3" customWidth="1"/>
    <col min="61" max="213" width="9.140625" style="3" customWidth="1"/>
    <col min="214" max="234" width="0" style="3" hidden="1" customWidth="1"/>
    <col min="235" max="247" width="9.140625" style="3" hidden="1" customWidth="1"/>
    <col min="248" max="249" width="8.28515625" style="3" hidden="1" customWidth="1"/>
    <col min="250" max="255" width="0" style="3" hidden="1" customWidth="1"/>
    <col min="256" max="268" width="9.140625" style="3" hidden="1" customWidth="1"/>
    <col min="269" max="270" width="8.28515625" style="3" hidden="1" customWidth="1"/>
    <col min="271" max="274" width="0" style="3" hidden="1" customWidth="1"/>
    <col min="275" max="282" width="9.140625" style="3" hidden="1" customWidth="1"/>
    <col min="283" max="284" width="8.28515625" style="3" hidden="1" customWidth="1"/>
    <col min="285" max="290" width="0" style="3" hidden="1" customWidth="1"/>
    <col min="291" max="303" width="9.140625" style="3" hidden="1" customWidth="1"/>
    <col min="304" max="305" width="8.28515625" style="3" hidden="1" customWidth="1"/>
    <col min="306" max="309" width="0" style="3" hidden="1" customWidth="1"/>
    <col min="310" max="312" width="9.140625" style="3" hidden="1" customWidth="1"/>
    <col min="313" max="314" width="8.28515625" style="3" hidden="1" customWidth="1"/>
    <col min="315" max="318" width="0" style="3" hidden="1" customWidth="1"/>
    <col min="319" max="16384" width="9.140625" style="3" hidden="1"/>
  </cols>
  <sheetData>
    <row r="1" spans="1:79" ht="15.75">
      <c r="BG1" s="705" t="s">
        <v>0</v>
      </c>
      <c r="BH1" s="705"/>
      <c r="BI1" s="615"/>
    </row>
    <row r="2" spans="1:79" ht="15.7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4"/>
    </row>
    <row r="3" spans="1:79" ht="31.5" customHeight="1">
      <c r="A3" s="683" t="s">
        <v>678</v>
      </c>
      <c r="B3" s="683"/>
      <c r="C3" s="683"/>
      <c r="D3" s="683"/>
      <c r="E3" s="683"/>
      <c r="F3" s="683"/>
      <c r="G3" s="683"/>
      <c r="H3" s="683"/>
      <c r="I3" s="683"/>
      <c r="J3" s="683"/>
      <c r="K3" s="683"/>
      <c r="L3" s="683"/>
      <c r="M3" s="683"/>
      <c r="N3" s="683"/>
      <c r="O3" s="683"/>
      <c r="P3" s="683"/>
      <c r="Q3" s="683"/>
      <c r="R3" s="683"/>
      <c r="S3" s="683"/>
      <c r="T3" s="683"/>
      <c r="U3" s="683"/>
      <c r="V3" s="683"/>
      <c r="W3" s="683"/>
      <c r="X3" s="683"/>
      <c r="Y3" s="683"/>
      <c r="Z3" s="683"/>
      <c r="AA3" s="683"/>
      <c r="AB3" s="683"/>
      <c r="AC3" s="683"/>
      <c r="AD3" s="683"/>
      <c r="AE3" s="683"/>
      <c r="AF3" s="683"/>
      <c r="AG3" s="683"/>
      <c r="AH3" s="683"/>
      <c r="AI3" s="683"/>
      <c r="AJ3" s="683"/>
      <c r="AK3" s="683"/>
      <c r="AL3" s="683"/>
      <c r="AM3" s="683"/>
      <c r="AN3" s="683"/>
      <c r="AO3" s="683"/>
      <c r="AP3" s="683"/>
      <c r="AQ3" s="683"/>
      <c r="AR3" s="683"/>
      <c r="AS3" s="683"/>
      <c r="AT3" s="683"/>
      <c r="AU3" s="683"/>
      <c r="AV3" s="683"/>
      <c r="AW3" s="683"/>
      <c r="AX3" s="683"/>
      <c r="AY3" s="683"/>
      <c r="AZ3" s="683"/>
      <c r="BA3" s="683"/>
      <c r="BB3" s="683"/>
      <c r="BC3" s="683"/>
      <c r="BD3" s="683"/>
      <c r="BE3" s="683"/>
      <c r="BF3" s="683"/>
      <c r="BG3" s="683"/>
      <c r="BH3" s="683"/>
    </row>
    <row r="4" spans="1:79" ht="15.75">
      <c r="AN4" s="98"/>
      <c r="AP4" s="98"/>
      <c r="AR4" s="98"/>
      <c r="AT4" s="98"/>
      <c r="AV4" s="98"/>
      <c r="AX4" s="98"/>
      <c r="AZ4" s="98"/>
      <c r="BB4" s="98"/>
      <c r="BD4" s="98"/>
      <c r="BH4" s="626" t="s">
        <v>119</v>
      </c>
    </row>
    <row r="5" spans="1:79" ht="15.75">
      <c r="A5" s="6" t="s">
        <v>2</v>
      </c>
      <c r="B5" s="707"/>
      <c r="C5" s="707"/>
      <c r="D5" s="707"/>
      <c r="E5" s="707"/>
      <c r="F5" s="707"/>
      <c r="G5" s="707"/>
      <c r="H5" s="707"/>
      <c r="I5" s="707"/>
      <c r="J5" s="707"/>
      <c r="K5" s="707"/>
      <c r="L5" s="707"/>
      <c r="M5" s="707"/>
      <c r="N5" s="707"/>
      <c r="O5" s="707"/>
      <c r="P5" s="510" t="s">
        <v>284</v>
      </c>
      <c r="Q5" s="510" t="s">
        <v>556</v>
      </c>
      <c r="R5" s="510" t="s">
        <v>557</v>
      </c>
      <c r="S5" s="510" t="s">
        <v>556</v>
      </c>
      <c r="T5" s="510" t="s">
        <v>557</v>
      </c>
      <c r="U5" s="510" t="s">
        <v>556</v>
      </c>
      <c r="V5" s="510" t="s">
        <v>557</v>
      </c>
      <c r="W5" s="510" t="s">
        <v>556</v>
      </c>
      <c r="X5" s="510" t="s">
        <v>557</v>
      </c>
      <c r="Y5" s="510" t="s">
        <v>556</v>
      </c>
      <c r="Z5" s="510" t="s">
        <v>557</v>
      </c>
      <c r="AA5" s="510" t="s">
        <v>556</v>
      </c>
      <c r="AB5" s="510" t="s">
        <v>557</v>
      </c>
      <c r="AC5" s="510" t="s">
        <v>556</v>
      </c>
      <c r="AD5" s="510" t="s">
        <v>557</v>
      </c>
      <c r="AE5" s="510" t="s">
        <v>556</v>
      </c>
      <c r="AF5" s="510" t="s">
        <v>557</v>
      </c>
      <c r="AG5" s="510" t="s">
        <v>556</v>
      </c>
      <c r="AH5" s="510">
        <v>2019</v>
      </c>
      <c r="AI5" s="510" t="s">
        <v>801</v>
      </c>
      <c r="AJ5" s="613" t="s">
        <v>556</v>
      </c>
      <c r="AK5" s="613" t="s">
        <v>557</v>
      </c>
      <c r="AL5" s="7" t="s">
        <v>3</v>
      </c>
      <c r="AM5" s="510" t="s">
        <v>284</v>
      </c>
      <c r="AN5" s="510" t="s">
        <v>556</v>
      </c>
      <c r="AO5" s="510" t="s">
        <v>557</v>
      </c>
      <c r="AP5" s="510" t="s">
        <v>556</v>
      </c>
      <c r="AQ5" s="510" t="s">
        <v>557</v>
      </c>
      <c r="AR5" s="510" t="s">
        <v>556</v>
      </c>
      <c r="AS5" s="510" t="s">
        <v>557</v>
      </c>
      <c r="AT5" s="510" t="s">
        <v>556</v>
      </c>
      <c r="AU5" s="510" t="s">
        <v>557</v>
      </c>
      <c r="AV5" s="510" t="s">
        <v>556</v>
      </c>
      <c r="AW5" s="510" t="s">
        <v>557</v>
      </c>
      <c r="AX5" s="510" t="s">
        <v>556</v>
      </c>
      <c r="AY5" s="510" t="s">
        <v>557</v>
      </c>
      <c r="AZ5" s="510" t="s">
        <v>556</v>
      </c>
      <c r="BA5" s="510" t="s">
        <v>557</v>
      </c>
      <c r="BB5" s="510" t="s">
        <v>556</v>
      </c>
      <c r="BC5" s="510" t="s">
        <v>557</v>
      </c>
      <c r="BD5" s="510" t="s">
        <v>556</v>
      </c>
      <c r="BE5" s="510">
        <v>2019</v>
      </c>
      <c r="BF5" s="510" t="s">
        <v>801</v>
      </c>
      <c r="BG5" s="613" t="s">
        <v>556</v>
      </c>
      <c r="BH5" s="613" t="s">
        <v>557</v>
      </c>
    </row>
    <row r="6" spans="1:79" ht="15.75">
      <c r="A6" s="8" t="s">
        <v>4</v>
      </c>
      <c r="B6" s="438"/>
      <c r="C6" s="438"/>
      <c r="D6" s="438" t="s">
        <v>6</v>
      </c>
      <c r="E6" s="438" t="s">
        <v>7</v>
      </c>
      <c r="F6" s="438" t="s">
        <v>6</v>
      </c>
      <c r="G6" s="438" t="s">
        <v>7</v>
      </c>
      <c r="H6" s="438" t="s">
        <v>6</v>
      </c>
      <c r="I6" s="438" t="s">
        <v>7</v>
      </c>
      <c r="J6" s="438" t="s">
        <v>6</v>
      </c>
      <c r="K6" s="438" t="s">
        <v>7</v>
      </c>
      <c r="L6" s="438" t="s">
        <v>6</v>
      </c>
      <c r="M6" s="438" t="s">
        <v>7</v>
      </c>
      <c r="N6" s="438" t="s">
        <v>6</v>
      </c>
      <c r="O6" s="438" t="s">
        <v>440</v>
      </c>
      <c r="P6" s="438" t="s">
        <v>5</v>
      </c>
      <c r="Q6" s="438" t="s">
        <v>6</v>
      </c>
      <c r="R6" s="438" t="s">
        <v>7</v>
      </c>
      <c r="S6" s="438" t="s">
        <v>6</v>
      </c>
      <c r="T6" s="438" t="s">
        <v>7</v>
      </c>
      <c r="U6" s="438" t="s">
        <v>6</v>
      </c>
      <c r="V6" s="438" t="s">
        <v>7</v>
      </c>
      <c r="W6" s="438" t="s">
        <v>6</v>
      </c>
      <c r="X6" s="438" t="s">
        <v>7</v>
      </c>
      <c r="Y6" s="438" t="s">
        <v>6</v>
      </c>
      <c r="Z6" s="438" t="s">
        <v>7</v>
      </c>
      <c r="AA6" s="438" t="s">
        <v>6</v>
      </c>
      <c r="AB6" s="438" t="s">
        <v>7</v>
      </c>
      <c r="AC6" s="438" t="s">
        <v>6</v>
      </c>
      <c r="AD6" s="438" t="s">
        <v>7</v>
      </c>
      <c r="AE6" s="438" t="s">
        <v>6</v>
      </c>
      <c r="AF6" s="438" t="s">
        <v>7</v>
      </c>
      <c r="AG6" s="438" t="s">
        <v>6</v>
      </c>
      <c r="AH6" s="438" t="s">
        <v>645</v>
      </c>
      <c r="AI6" s="438" t="s">
        <v>5</v>
      </c>
      <c r="AJ6" s="614" t="s">
        <v>6</v>
      </c>
      <c r="AK6" s="614" t="s">
        <v>7</v>
      </c>
      <c r="AL6" s="8" t="s">
        <v>4</v>
      </c>
      <c r="AM6" s="438" t="s">
        <v>5</v>
      </c>
      <c r="AN6" s="438" t="s">
        <v>6</v>
      </c>
      <c r="AO6" s="438" t="s">
        <v>7</v>
      </c>
      <c r="AP6" s="438" t="s">
        <v>6</v>
      </c>
      <c r="AQ6" s="438" t="s">
        <v>7</v>
      </c>
      <c r="AR6" s="438" t="s">
        <v>6</v>
      </c>
      <c r="AS6" s="438" t="s">
        <v>7</v>
      </c>
      <c r="AT6" s="438" t="s">
        <v>6</v>
      </c>
      <c r="AU6" s="438" t="s">
        <v>7</v>
      </c>
      <c r="AV6" s="438" t="s">
        <v>6</v>
      </c>
      <c r="AW6" s="438" t="s">
        <v>7</v>
      </c>
      <c r="AX6" s="438" t="s">
        <v>6</v>
      </c>
      <c r="AY6" s="438" t="s">
        <v>7</v>
      </c>
      <c r="AZ6" s="438" t="s">
        <v>6</v>
      </c>
      <c r="BA6" s="438" t="s">
        <v>7</v>
      </c>
      <c r="BB6" s="438" t="s">
        <v>6</v>
      </c>
      <c r="BC6" s="438" t="s">
        <v>7</v>
      </c>
      <c r="BD6" s="438" t="s">
        <v>6</v>
      </c>
      <c r="BE6" s="438" t="s">
        <v>645</v>
      </c>
      <c r="BF6" s="438" t="s">
        <v>5</v>
      </c>
      <c r="BG6" s="614" t="s">
        <v>6</v>
      </c>
      <c r="BH6" s="614" t="s">
        <v>7</v>
      </c>
    </row>
    <row r="7" spans="1:79" ht="16.5" customHeight="1">
      <c r="A7" s="712" t="s">
        <v>8</v>
      </c>
      <c r="B7" s="713"/>
      <c r="C7" s="713"/>
      <c r="D7" s="713"/>
      <c r="E7" s="713"/>
      <c r="F7" s="713"/>
      <c r="G7" s="713"/>
      <c r="H7" s="713"/>
      <c r="I7" s="713"/>
      <c r="J7" s="713"/>
      <c r="K7" s="713"/>
      <c r="L7" s="713"/>
      <c r="M7" s="713"/>
      <c r="N7" s="713"/>
      <c r="O7" s="713"/>
      <c r="P7" s="713"/>
      <c r="Q7" s="713"/>
      <c r="R7" s="713"/>
      <c r="S7" s="713"/>
      <c r="T7" s="713"/>
      <c r="U7" s="713"/>
      <c r="V7" s="713"/>
      <c r="W7" s="713"/>
      <c r="X7" s="713"/>
      <c r="Y7" s="713"/>
      <c r="Z7" s="713"/>
      <c r="AA7" s="713"/>
      <c r="AB7" s="713"/>
      <c r="AC7" s="713"/>
      <c r="AD7" s="713"/>
      <c r="AE7" s="713"/>
      <c r="AF7" s="713"/>
      <c r="AG7" s="713"/>
      <c r="AH7" s="713"/>
      <c r="AI7" s="713"/>
      <c r="AJ7" s="713"/>
      <c r="AK7" s="713"/>
      <c r="AL7" s="713"/>
      <c r="AM7" s="713"/>
      <c r="AN7" s="713"/>
      <c r="AO7" s="713"/>
      <c r="AP7" s="713"/>
      <c r="AQ7" s="713"/>
      <c r="AR7" s="713"/>
      <c r="AS7" s="713"/>
      <c r="AT7" s="713"/>
      <c r="AU7" s="713"/>
      <c r="AV7" s="713"/>
      <c r="AW7" s="713"/>
      <c r="AX7" s="713"/>
      <c r="AY7" s="713"/>
      <c r="AZ7" s="713"/>
      <c r="BA7" s="713"/>
      <c r="BB7" s="713"/>
      <c r="BC7" s="713"/>
      <c r="BD7" s="713"/>
      <c r="BE7" s="713"/>
      <c r="BF7" s="713"/>
      <c r="BG7" s="713"/>
      <c r="BH7" s="714"/>
      <c r="BI7" s="193"/>
      <c r="BJ7" s="193"/>
      <c r="BK7" s="193"/>
      <c r="BL7" s="193"/>
      <c r="BM7" s="193"/>
      <c r="BN7" s="193"/>
      <c r="BO7" s="193"/>
      <c r="BP7" s="193"/>
      <c r="BQ7" s="193"/>
      <c r="BR7" s="193"/>
      <c r="BS7" s="193"/>
      <c r="BT7" s="193"/>
      <c r="BU7" s="193"/>
      <c r="BV7" s="193"/>
      <c r="BW7" s="193"/>
      <c r="BX7" s="193"/>
      <c r="BY7" s="193"/>
      <c r="BZ7" s="193"/>
      <c r="CA7" s="193"/>
    </row>
    <row r="8" spans="1:79">
      <c r="A8" s="10" t="s">
        <v>9</v>
      </c>
      <c r="B8" s="378" t="e">
        <f>B9+B33+#REF!</f>
        <v>#REF!</v>
      </c>
      <c r="C8" s="378" t="e">
        <f>C9+C33+#REF!</f>
        <v>#REF!</v>
      </c>
      <c r="D8" s="378" t="e">
        <f>D9+D33+#REF!</f>
        <v>#REF!</v>
      </c>
      <c r="E8" s="378" t="e">
        <f>E9+E33+#REF!</f>
        <v>#REF!</v>
      </c>
      <c r="F8" s="378" t="e">
        <f>F9+F33+#REF!</f>
        <v>#REF!</v>
      </c>
      <c r="G8" s="378" t="e">
        <f>G9+G33+#REF!</f>
        <v>#REF!</v>
      </c>
      <c r="H8" s="378" t="e">
        <f>H9+H33+#REF!</f>
        <v>#REF!</v>
      </c>
      <c r="I8" s="378" t="e">
        <f>I9+I33+#REF!</f>
        <v>#REF!</v>
      </c>
      <c r="J8" s="378" t="e">
        <f>J9+J33+#REF!</f>
        <v>#REF!</v>
      </c>
      <c r="K8" s="378" t="e">
        <f>K9+K33+#REF!</f>
        <v>#REF!</v>
      </c>
      <c r="L8" s="378" t="e">
        <f>L9+L33+#REF!</f>
        <v>#REF!</v>
      </c>
      <c r="M8" s="378" t="e">
        <f>M9+M33+#REF!</f>
        <v>#REF!</v>
      </c>
      <c r="N8" s="378" t="e">
        <f>N9+N33+#REF!</f>
        <v>#REF!</v>
      </c>
      <c r="O8" s="378" t="e">
        <f>O9+O33+#REF!</f>
        <v>#REF!</v>
      </c>
      <c r="P8" s="378">
        <f>P9+P40</f>
        <v>1875508</v>
      </c>
      <c r="Q8" s="378">
        <f>Q9+Q40+Q50</f>
        <v>24622</v>
      </c>
      <c r="R8" s="378">
        <f>R9+R40+R50</f>
        <v>1900130</v>
      </c>
      <c r="S8" s="378">
        <f t="shared" ref="S8:AA8" si="0">S9+S40+S50+S51</f>
        <v>38480</v>
      </c>
      <c r="T8" s="378">
        <f t="shared" si="0"/>
        <v>1938610</v>
      </c>
      <c r="U8" s="378">
        <f t="shared" si="0"/>
        <v>10971</v>
      </c>
      <c r="V8" s="378">
        <f t="shared" si="0"/>
        <v>1949581</v>
      </c>
      <c r="W8" s="378">
        <f t="shared" si="0"/>
        <v>154406</v>
      </c>
      <c r="X8" s="378">
        <f t="shared" si="0"/>
        <v>2103987</v>
      </c>
      <c r="Y8" s="378">
        <f>Y9+Y40+Y50+Y51</f>
        <v>25039</v>
      </c>
      <c r="Z8" s="378">
        <f t="shared" si="0"/>
        <v>2129026</v>
      </c>
      <c r="AA8" s="378">
        <f t="shared" si="0"/>
        <v>19903</v>
      </c>
      <c r="AB8" s="378">
        <f>AB9+AB40+AB50+AB51+AB52</f>
        <v>2148929</v>
      </c>
      <c r="AC8" s="378">
        <f t="shared" ref="AC8:AH8" si="1">AC9+AC40+AC50+AC51+AC52</f>
        <v>13061</v>
      </c>
      <c r="AD8" s="378">
        <f t="shared" si="1"/>
        <v>2161990</v>
      </c>
      <c r="AE8" s="378">
        <f t="shared" si="1"/>
        <v>7640</v>
      </c>
      <c r="AF8" s="378">
        <f t="shared" si="1"/>
        <v>2169630</v>
      </c>
      <c r="AG8" s="378">
        <f t="shared" si="1"/>
        <v>7491</v>
      </c>
      <c r="AH8" s="378">
        <f t="shared" si="1"/>
        <v>2177121</v>
      </c>
      <c r="AI8" s="378">
        <f>AI9+AI40</f>
        <v>1990081</v>
      </c>
      <c r="AJ8" s="378">
        <f t="shared" ref="AJ8:AK8" si="2">AJ9+AJ40</f>
        <v>76777</v>
      </c>
      <c r="AK8" s="378">
        <f t="shared" si="2"/>
        <v>2066858</v>
      </c>
      <c r="AL8" s="11" t="s">
        <v>10</v>
      </c>
      <c r="AM8" s="388">
        <v>351617</v>
      </c>
      <c r="AN8" s="388" t="e">
        <f>Szem.dologi!C92</f>
        <v>#REF!</v>
      </c>
      <c r="AO8" s="388" t="e">
        <f>Szem.dologi!D92</f>
        <v>#REF!</v>
      </c>
      <c r="AP8" s="388" t="e">
        <f>Szem.dologi!E92</f>
        <v>#REF!</v>
      </c>
      <c r="AQ8" s="388" t="e">
        <f>Szem.dologi!F92</f>
        <v>#REF!</v>
      </c>
      <c r="AR8" s="388">
        <f>Szem.dologi!J92</f>
        <v>455</v>
      </c>
      <c r="AS8" s="388" t="e">
        <f>SUM(AQ8:AR8)</f>
        <v>#REF!</v>
      </c>
      <c r="AT8" s="388">
        <f>Szem.dologi!N92</f>
        <v>481</v>
      </c>
      <c r="AU8" s="388">
        <v>352233</v>
      </c>
      <c r="AV8" s="388">
        <f>Szem.dologi!N92</f>
        <v>481</v>
      </c>
      <c r="AW8" s="388">
        <f>Szem.dologi!K92</f>
        <v>361029</v>
      </c>
      <c r="AX8" s="388">
        <f>Szem.dologi!N92</f>
        <v>481</v>
      </c>
      <c r="AY8" s="388">
        <v>355048</v>
      </c>
      <c r="AZ8" s="388">
        <f>Szem.dologi!N92</f>
        <v>481</v>
      </c>
      <c r="BA8" s="388">
        <v>361571</v>
      </c>
      <c r="BB8" s="388">
        <f>Szem.dologi!N92</f>
        <v>481</v>
      </c>
      <c r="BC8" s="388">
        <v>361317</v>
      </c>
      <c r="BD8" s="388">
        <f>Szem.dologi!N92</f>
        <v>481</v>
      </c>
      <c r="BE8" s="388">
        <f>SUM(BC8:BD8)</f>
        <v>361798</v>
      </c>
      <c r="BF8" s="388">
        <f>Szem.dologi!G92</f>
        <v>302260</v>
      </c>
      <c r="BG8" s="388">
        <f>Szem.dologi!W92</f>
        <v>1</v>
      </c>
      <c r="BH8" s="388">
        <f>SUM(BF8:BG8)</f>
        <v>302261</v>
      </c>
    </row>
    <row r="9" spans="1:79" ht="17.25" customHeight="1">
      <c r="A9" s="12" t="s">
        <v>11</v>
      </c>
      <c r="B9" s="13">
        <f t="shared" ref="B9:X9" si="3">B10+B11+B12+B20+B24+B28+B31</f>
        <v>28460</v>
      </c>
      <c r="C9" s="13">
        <f t="shared" si="3"/>
        <v>28460</v>
      </c>
      <c r="D9" s="13">
        <f t="shared" si="3"/>
        <v>0</v>
      </c>
      <c r="E9" s="13">
        <f t="shared" si="3"/>
        <v>28460</v>
      </c>
      <c r="F9" s="13">
        <f t="shared" si="3"/>
        <v>17263</v>
      </c>
      <c r="G9" s="13">
        <f t="shared" si="3"/>
        <v>45723</v>
      </c>
      <c r="H9" s="13">
        <f t="shared" si="3"/>
        <v>13170</v>
      </c>
      <c r="I9" s="13">
        <f t="shared" si="3"/>
        <v>58893</v>
      </c>
      <c r="J9" s="13">
        <f t="shared" si="3"/>
        <v>24049</v>
      </c>
      <c r="K9" s="13">
        <f t="shared" si="3"/>
        <v>82942</v>
      </c>
      <c r="L9" s="13">
        <f t="shared" si="3"/>
        <v>21200</v>
      </c>
      <c r="M9" s="13">
        <f t="shared" si="3"/>
        <v>104142</v>
      </c>
      <c r="N9" s="13">
        <f t="shared" si="3"/>
        <v>37128</v>
      </c>
      <c r="O9" s="13">
        <f t="shared" si="3"/>
        <v>164225</v>
      </c>
      <c r="P9" s="13">
        <f>P10+P11+P12+P20+P24+P28+P31</f>
        <v>1564364</v>
      </c>
      <c r="Q9" s="13">
        <f t="shared" si="3"/>
        <v>24622</v>
      </c>
      <c r="R9" s="13">
        <f t="shared" si="3"/>
        <v>1588986</v>
      </c>
      <c r="S9" s="13">
        <f t="shared" si="3"/>
        <v>8480</v>
      </c>
      <c r="T9" s="13">
        <f t="shared" si="3"/>
        <v>1597466</v>
      </c>
      <c r="U9" s="13">
        <f t="shared" si="3"/>
        <v>8971</v>
      </c>
      <c r="V9" s="13">
        <f t="shared" si="3"/>
        <v>1606437</v>
      </c>
      <c r="W9" s="13">
        <f t="shared" si="3"/>
        <v>134434</v>
      </c>
      <c r="X9" s="13">
        <f t="shared" si="3"/>
        <v>1740871</v>
      </c>
      <c r="Y9" s="13">
        <f>Y10+Y11+Y12+Y20+Y24+Y28+Y31+Y38</f>
        <v>24121</v>
      </c>
      <c r="Z9" s="13">
        <f>Z10+Z11+Z12+Z20+Z24+Z28+Z31+Z38</f>
        <v>1764992</v>
      </c>
      <c r="AA9" s="13">
        <f t="shared" ref="AA9:AK9" si="4">AA10+AA11+AA12+AA20+AA24+AA28+AA31+AA38</f>
        <v>18778</v>
      </c>
      <c r="AB9" s="13">
        <f t="shared" si="4"/>
        <v>1783770</v>
      </c>
      <c r="AC9" s="13">
        <f t="shared" si="4"/>
        <v>7911</v>
      </c>
      <c r="AD9" s="13">
        <f t="shared" si="4"/>
        <v>1791681</v>
      </c>
      <c r="AE9" s="13">
        <f t="shared" si="4"/>
        <v>7640</v>
      </c>
      <c r="AF9" s="13">
        <f t="shared" si="4"/>
        <v>1799321</v>
      </c>
      <c r="AG9" s="13">
        <f t="shared" si="4"/>
        <v>7491</v>
      </c>
      <c r="AH9" s="13">
        <f t="shared" si="4"/>
        <v>1806812</v>
      </c>
      <c r="AI9" s="13">
        <f t="shared" si="4"/>
        <v>1775540</v>
      </c>
      <c r="AJ9" s="13">
        <f t="shared" si="4"/>
        <v>76777</v>
      </c>
      <c r="AK9" s="13">
        <f t="shared" si="4"/>
        <v>1852317</v>
      </c>
      <c r="AL9" s="10" t="s">
        <v>12</v>
      </c>
      <c r="AM9" s="388">
        <v>50202</v>
      </c>
      <c r="AN9" s="388" t="e">
        <f>Szem.dologi!I92</f>
        <v>#REF!</v>
      </c>
      <c r="AO9" s="388" t="e">
        <f>Szem.dologi!L92</f>
        <v>#REF!</v>
      </c>
      <c r="AP9" s="388">
        <f>Szem.dologi!M92</f>
        <v>0</v>
      </c>
      <c r="AQ9" s="388" t="e">
        <f>Szem.dologi!P92</f>
        <v>#REF!</v>
      </c>
      <c r="AR9" s="388">
        <f>Szem.dologi!S92</f>
        <v>1</v>
      </c>
      <c r="AS9" s="388" t="e">
        <f t="shared" ref="AS9:AS18" si="5">SUM(AQ9:AR9)</f>
        <v>#REF!</v>
      </c>
      <c r="AT9" s="388">
        <f>Szem.dologi!X92</f>
        <v>40753</v>
      </c>
      <c r="AU9" s="388">
        <v>50213</v>
      </c>
      <c r="AV9" s="388">
        <f>Szem.dologi!X92</f>
        <v>40753</v>
      </c>
      <c r="AW9" s="388" t="e">
        <f>Szem.dologi!T92</f>
        <v>#REF!</v>
      </c>
      <c r="AX9" s="388">
        <f>Szem.dologi!X92</f>
        <v>40753</v>
      </c>
      <c r="AY9" s="388">
        <v>50623</v>
      </c>
      <c r="AZ9" s="388">
        <f>Szem.dologi!X92</f>
        <v>40753</v>
      </c>
      <c r="BA9" s="388">
        <v>51553</v>
      </c>
      <c r="BB9" s="388">
        <f>Szem.dologi!X92</f>
        <v>40753</v>
      </c>
      <c r="BC9" s="388">
        <f t="shared" ref="BC9:BC18" si="6">SUM(BA9:BB9)</f>
        <v>92306</v>
      </c>
      <c r="BD9" s="388">
        <f>Szem.dologi!X92</f>
        <v>40753</v>
      </c>
      <c r="BE9" s="388">
        <v>51553</v>
      </c>
      <c r="BF9" s="388">
        <f>Szem.dologi!X92</f>
        <v>40753</v>
      </c>
      <c r="BG9" s="388">
        <f>Szem.dologi!AE92</f>
        <v>0</v>
      </c>
      <c r="BH9" s="388">
        <f t="shared" ref="BH9:BH19" si="7">SUM(BF9:BG9)</f>
        <v>40753</v>
      </c>
    </row>
    <row r="10" spans="1:79" ht="23.25" customHeight="1">
      <c r="A10" s="12" t="s">
        <v>13</v>
      </c>
      <c r="B10" s="13">
        <v>1311</v>
      </c>
      <c r="C10" s="379">
        <f>SUM(B10:B10)</f>
        <v>1311</v>
      </c>
      <c r="D10" s="378"/>
      <c r="E10" s="379">
        <f>SUM(C10:D10)</f>
        <v>1311</v>
      </c>
      <c r="F10" s="379"/>
      <c r="G10" s="379">
        <f>SUM(E10:F10)</f>
        <v>1311</v>
      </c>
      <c r="H10" s="379"/>
      <c r="I10" s="379">
        <f>SUM(G10:H10)</f>
        <v>1311</v>
      </c>
      <c r="J10" s="379"/>
      <c r="K10" s="379">
        <f>SUM(I10:J10)</f>
        <v>1311</v>
      </c>
      <c r="L10" s="379"/>
      <c r="M10" s="379">
        <f>SUM(K10:L10)</f>
        <v>1311</v>
      </c>
      <c r="N10" s="379"/>
      <c r="O10" s="379">
        <f>SUM(M10:N10)</f>
        <v>1311</v>
      </c>
      <c r="P10" s="379">
        <v>197093</v>
      </c>
      <c r="Q10" s="379"/>
      <c r="R10" s="379">
        <f>SUM(P10:Q10)</f>
        <v>197093</v>
      </c>
      <c r="S10" s="379"/>
      <c r="T10" s="379">
        <f>SUM(R10:S10)</f>
        <v>197093</v>
      </c>
      <c r="U10" s="379">
        <f>510+1843</f>
        <v>2353</v>
      </c>
      <c r="V10" s="379">
        <f>SUM(T10:U10)</f>
        <v>199446</v>
      </c>
      <c r="W10" s="379">
        <v>510</v>
      </c>
      <c r="X10" s="13">
        <f t="shared" ref="X10:X82" si="8">SUM(V10:W10)</f>
        <v>199956</v>
      </c>
      <c r="Y10" s="13">
        <f>494+482</f>
        <v>976</v>
      </c>
      <c r="Z10" s="13">
        <f>SUM(X10:Y10)</f>
        <v>200932</v>
      </c>
      <c r="AA10" s="13">
        <v>640</v>
      </c>
      <c r="AB10" s="13">
        <f>SUM(Z10:AA10)</f>
        <v>201572</v>
      </c>
      <c r="AC10" s="13">
        <v>638</v>
      </c>
      <c r="AD10" s="13">
        <f>SUM(AB10:AC10)</f>
        <v>202210</v>
      </c>
      <c r="AE10" s="13">
        <v>615</v>
      </c>
      <c r="AF10" s="13">
        <f>SUM(AD10:AE10)</f>
        <v>202825</v>
      </c>
      <c r="AG10" s="13">
        <v>600</v>
      </c>
      <c r="AH10" s="13">
        <f>SUM(AF10:AG10)</f>
        <v>203425</v>
      </c>
      <c r="AI10" s="13">
        <v>255184</v>
      </c>
      <c r="AJ10" s="13">
        <f>637+46574+461</f>
        <v>47672</v>
      </c>
      <c r="AK10" s="13">
        <f>SUM(AI10:AJ10)</f>
        <v>302856</v>
      </c>
      <c r="AL10" s="14" t="s">
        <v>14</v>
      </c>
      <c r="AM10" s="388">
        <v>572824</v>
      </c>
      <c r="AN10" s="388" t="e">
        <f>Szem.dologi!R92</f>
        <v>#REF!</v>
      </c>
      <c r="AO10" s="388" t="e">
        <f>Szem.dologi!U92</f>
        <v>#REF!</v>
      </c>
      <c r="AP10" s="388">
        <f>Szem.dologi!V92</f>
        <v>-6090</v>
      </c>
      <c r="AQ10" s="388" t="e">
        <f>Szem.dologi!Z92</f>
        <v>#REF!</v>
      </c>
      <c r="AR10" s="388">
        <f>Szem.dologi!AA92</f>
        <v>5673</v>
      </c>
      <c r="AS10" s="388" t="e">
        <f t="shared" si="5"/>
        <v>#REF!</v>
      </c>
      <c r="AT10" s="388">
        <f>Szem.dologi!AC92</f>
        <v>94775</v>
      </c>
      <c r="AU10" s="388">
        <v>608987</v>
      </c>
      <c r="AV10" s="388">
        <f>Szem.dologi!AC92</f>
        <v>94775</v>
      </c>
      <c r="AW10" s="388" t="e">
        <f>Szem.dologi!AB92</f>
        <v>#REF!</v>
      </c>
      <c r="AX10" s="388">
        <f>Szem.dologi!AC92</f>
        <v>94775</v>
      </c>
      <c r="AY10" s="388">
        <v>614818</v>
      </c>
      <c r="AZ10" s="388">
        <f>Szem.dologi!AC92</f>
        <v>94775</v>
      </c>
      <c r="BA10" s="388">
        <v>623535</v>
      </c>
      <c r="BB10" s="388">
        <f>Szem.dologi!AC92</f>
        <v>94775</v>
      </c>
      <c r="BC10" s="388">
        <v>770192</v>
      </c>
      <c r="BD10" s="388">
        <f>Szem.dologi!AC92</f>
        <v>94775</v>
      </c>
      <c r="BE10" s="388">
        <f t="shared" ref="BE10:BE14" si="9">SUM(BC10:BD10)</f>
        <v>864967</v>
      </c>
      <c r="BF10" s="388">
        <f>Szem.dologi!AF92</f>
        <v>566535</v>
      </c>
      <c r="BG10" s="388">
        <f>Szem.dologi!AN92</f>
        <v>-39930</v>
      </c>
      <c r="BH10" s="388">
        <f t="shared" si="7"/>
        <v>526605</v>
      </c>
    </row>
    <row r="11" spans="1:79" ht="24.75" customHeight="1">
      <c r="A11" s="12" t="s">
        <v>15</v>
      </c>
      <c r="B11" s="13"/>
      <c r="C11" s="379">
        <f>SUM(B11:B11)</f>
        <v>0</v>
      </c>
      <c r="D11" s="378"/>
      <c r="E11" s="379">
        <f>SUM(C11:D11)</f>
        <v>0</v>
      </c>
      <c r="F11" s="379"/>
      <c r="G11" s="379">
        <f t="shared" ref="G11:G14" si="10">SUM(E11:F11)</f>
        <v>0</v>
      </c>
      <c r="H11" s="379"/>
      <c r="I11" s="379">
        <f t="shared" ref="I11:I14" si="11">SUM(G11:H11)</f>
        <v>0</v>
      </c>
      <c r="J11" s="379"/>
      <c r="K11" s="379">
        <f t="shared" ref="K11:K14" si="12">SUM(I11:J11)</f>
        <v>0</v>
      </c>
      <c r="L11" s="379"/>
      <c r="M11" s="379">
        <f t="shared" ref="M11:M14" si="13">SUM(K11:L11)</f>
        <v>0</v>
      </c>
      <c r="N11" s="379">
        <v>-252</v>
      </c>
      <c r="O11" s="379">
        <f t="shared" ref="O11:O14" si="14">SUM(M11:N11)</f>
        <v>-252</v>
      </c>
      <c r="P11" s="379">
        <v>502873</v>
      </c>
      <c r="Q11" s="379"/>
      <c r="R11" s="379">
        <f t="shared" ref="R11:R14" si="15">SUM(P11:Q11)</f>
        <v>502873</v>
      </c>
      <c r="S11" s="379"/>
      <c r="T11" s="379">
        <f t="shared" ref="T11:T84" si="16">SUM(R11:S11)</f>
        <v>502873</v>
      </c>
      <c r="U11" s="379"/>
      <c r="V11" s="379">
        <f>SUM(T11:U11)</f>
        <v>502873</v>
      </c>
      <c r="W11" s="379"/>
      <c r="X11" s="13">
        <f t="shared" si="8"/>
        <v>502873</v>
      </c>
      <c r="Y11" s="13"/>
      <c r="Z11" s="13">
        <f t="shared" ref="Z11:Z84" si="17">SUM(X11:Y11)</f>
        <v>502873</v>
      </c>
      <c r="AA11" s="13">
        <v>5302</v>
      </c>
      <c r="AB11" s="13">
        <f t="shared" ref="AB11:AB78" si="18">SUM(Z11:AA11)</f>
        <v>508175</v>
      </c>
      <c r="AC11" s="13"/>
      <c r="AD11" s="13">
        <f t="shared" ref="AD11:AD77" si="19">SUM(AB11:AC11)</f>
        <v>508175</v>
      </c>
      <c r="AE11" s="13"/>
      <c r="AF11" s="13">
        <f t="shared" ref="AF11:AF73" si="20">SUM(AD11:AE11)</f>
        <v>508175</v>
      </c>
      <c r="AG11" s="13"/>
      <c r="AH11" s="13">
        <f t="shared" ref="AH11:AH73" si="21">SUM(AF11:AG11)</f>
        <v>508175</v>
      </c>
      <c r="AI11" s="13">
        <v>526172</v>
      </c>
      <c r="AJ11" s="13"/>
      <c r="AK11" s="13">
        <f t="shared" ref="AK11:AK73" si="22">SUM(AI11:AJ11)</f>
        <v>526172</v>
      </c>
      <c r="AL11" s="15" t="s">
        <v>16</v>
      </c>
      <c r="AM11" s="388">
        <v>73164</v>
      </c>
      <c r="AN11" s="388" t="e">
        <f>#REF!</f>
        <v>#REF!</v>
      </c>
      <c r="AO11" s="388" t="e">
        <f>#REF!</f>
        <v>#REF!</v>
      </c>
      <c r="AP11" s="388" t="e">
        <f>#REF!</f>
        <v>#REF!</v>
      </c>
      <c r="AQ11" s="388">
        <v>73164</v>
      </c>
      <c r="AR11" s="388" t="e">
        <f>#REF!</f>
        <v>#REF!</v>
      </c>
      <c r="AS11" s="388" t="e">
        <f>#REF!</f>
        <v>#REF!</v>
      </c>
      <c r="AT11" s="388" t="e">
        <f>#REF!</f>
        <v>#REF!</v>
      </c>
      <c r="AU11" s="388" t="e">
        <f t="shared" ref="AU11:AU18" si="23">SUM(AS11:AT11)</f>
        <v>#REF!</v>
      </c>
      <c r="AV11" s="388"/>
      <c r="AW11" s="388" t="e">
        <f t="shared" ref="AW11:AW18" si="24">SUM(AU11:AV11)</f>
        <v>#REF!</v>
      </c>
      <c r="AX11" s="388"/>
      <c r="AY11" s="388" t="e">
        <f t="shared" ref="AY11:AY18" si="25">SUM(AW11:AX11)</f>
        <v>#REF!</v>
      </c>
      <c r="AZ11" s="388"/>
      <c r="BA11" s="388" t="e">
        <f t="shared" ref="BA11:BA18" si="26">SUM(AY11:AZ11)</f>
        <v>#REF!</v>
      </c>
      <c r="BB11" s="388"/>
      <c r="BC11" s="388" t="e">
        <f t="shared" si="6"/>
        <v>#REF!</v>
      </c>
      <c r="BD11" s="388"/>
      <c r="BE11" s="388" t="e">
        <f t="shared" si="9"/>
        <v>#REF!</v>
      </c>
      <c r="BF11" s="388">
        <f>'Szoc.rász.'!H19</f>
        <v>31960</v>
      </c>
      <c r="BG11" s="388"/>
      <c r="BH11" s="388">
        <f t="shared" si="7"/>
        <v>31960</v>
      </c>
    </row>
    <row r="12" spans="1:79">
      <c r="A12" s="12" t="s">
        <v>17</v>
      </c>
      <c r="B12" s="379">
        <f t="shared" ref="B12:I12" si="27">+B13+B14+B15+B16+B17</f>
        <v>20912</v>
      </c>
      <c r="C12" s="379">
        <f t="shared" si="27"/>
        <v>20912</v>
      </c>
      <c r="D12" s="379">
        <f t="shared" si="27"/>
        <v>0</v>
      </c>
      <c r="E12" s="379">
        <f t="shared" si="27"/>
        <v>20912</v>
      </c>
      <c r="F12" s="379">
        <f t="shared" si="27"/>
        <v>13515</v>
      </c>
      <c r="G12" s="379">
        <f t="shared" si="27"/>
        <v>34427</v>
      </c>
      <c r="H12" s="379">
        <f t="shared" si="27"/>
        <v>6762</v>
      </c>
      <c r="I12" s="379">
        <f t="shared" si="27"/>
        <v>41189</v>
      </c>
      <c r="J12" s="379">
        <f>+J13+J14+J15+J16+J17+J18</f>
        <v>19718</v>
      </c>
      <c r="K12" s="379">
        <f>+K13+K14+K15+K16+K17+K18</f>
        <v>60907</v>
      </c>
      <c r="L12" s="379">
        <f t="shared" ref="L12:AK12" si="28">+L13+L14+L15+L16+L17+L18+L19</f>
        <v>17577</v>
      </c>
      <c r="M12" s="379">
        <f t="shared" si="28"/>
        <v>78484</v>
      </c>
      <c r="N12" s="379">
        <f t="shared" si="28"/>
        <v>35765</v>
      </c>
      <c r="O12" s="379">
        <f t="shared" si="28"/>
        <v>120929</v>
      </c>
      <c r="P12" s="379">
        <f t="shared" si="28"/>
        <v>807013</v>
      </c>
      <c r="Q12" s="379">
        <f t="shared" si="28"/>
        <v>20755</v>
      </c>
      <c r="R12" s="379">
        <f t="shared" si="28"/>
        <v>827768</v>
      </c>
      <c r="S12" s="379">
        <f t="shared" si="28"/>
        <v>7103</v>
      </c>
      <c r="T12" s="379">
        <f t="shared" si="28"/>
        <v>834871</v>
      </c>
      <c r="U12" s="379">
        <f t="shared" si="28"/>
        <v>7089</v>
      </c>
      <c r="V12" s="379">
        <f t="shared" si="28"/>
        <v>841960</v>
      </c>
      <c r="W12" s="379">
        <f t="shared" si="28"/>
        <v>6965</v>
      </c>
      <c r="X12" s="379">
        <f t="shared" si="28"/>
        <v>848925</v>
      </c>
      <c r="Y12" s="379">
        <f t="shared" si="28"/>
        <v>13588</v>
      </c>
      <c r="Z12" s="379">
        <f t="shared" si="28"/>
        <v>862513</v>
      </c>
      <c r="AA12" s="379">
        <f t="shared" si="28"/>
        <v>11505</v>
      </c>
      <c r="AB12" s="379">
        <f t="shared" si="28"/>
        <v>874018</v>
      </c>
      <c r="AC12" s="379">
        <f t="shared" si="28"/>
        <v>6447</v>
      </c>
      <c r="AD12" s="379">
        <f t="shared" si="28"/>
        <v>880465</v>
      </c>
      <c r="AE12" s="379">
        <f t="shared" si="28"/>
        <v>6222</v>
      </c>
      <c r="AF12" s="379">
        <f t="shared" si="28"/>
        <v>886687</v>
      </c>
      <c r="AG12" s="379">
        <f t="shared" si="28"/>
        <v>6083</v>
      </c>
      <c r="AH12" s="379">
        <f t="shared" si="28"/>
        <v>892770</v>
      </c>
      <c r="AI12" s="379">
        <f t="shared" si="28"/>
        <v>935703</v>
      </c>
      <c r="AJ12" s="379">
        <f t="shared" si="28"/>
        <v>26603</v>
      </c>
      <c r="AK12" s="379">
        <f t="shared" si="28"/>
        <v>962306</v>
      </c>
      <c r="AL12" s="14" t="s">
        <v>18</v>
      </c>
      <c r="AM12" s="470">
        <f t="shared" ref="AM12" si="29">AM13+AM14+AM16+AM17+AM18</f>
        <v>742503</v>
      </c>
      <c r="AN12" s="470" t="e">
        <f>AN13+AN14+AN16+AN17+AN18+AN15</f>
        <v>#REF!</v>
      </c>
      <c r="AO12" s="470" t="e">
        <f>AO13+AO14+AO16+AO17+AO18+AO15</f>
        <v>#REF!</v>
      </c>
      <c r="AP12" s="470" t="e">
        <f t="shared" ref="AP12" si="30">AP13+AP14+AP16+AP17+AP18+AP15</f>
        <v>#REF!</v>
      </c>
      <c r="AQ12" s="470" t="e">
        <f>AQ13+AQ14+AQ16+AQ17+AQ18+AQ15</f>
        <v>#REF!</v>
      </c>
      <c r="AR12" s="470" t="e">
        <f t="shared" ref="AR12:BH12" si="31">AR13+AR14+AR16+AR17+AR18+AR15</f>
        <v>#REF!</v>
      </c>
      <c r="AS12" s="470" t="e">
        <f t="shared" si="31"/>
        <v>#REF!</v>
      </c>
      <c r="AT12" s="470" t="e">
        <f t="shared" si="31"/>
        <v>#REF!</v>
      </c>
      <c r="AU12" s="470" t="e">
        <f t="shared" si="31"/>
        <v>#REF!</v>
      </c>
      <c r="AV12" s="470" t="e">
        <f t="shared" si="31"/>
        <v>#REF!</v>
      </c>
      <c r="AW12" s="470" t="e">
        <f t="shared" si="31"/>
        <v>#REF!</v>
      </c>
      <c r="AX12" s="470" t="e">
        <f t="shared" si="31"/>
        <v>#REF!</v>
      </c>
      <c r="AY12" s="470" t="e">
        <f t="shared" si="31"/>
        <v>#REF!</v>
      </c>
      <c r="AZ12" s="470" t="e">
        <f t="shared" si="31"/>
        <v>#REF!</v>
      </c>
      <c r="BA12" s="470" t="e">
        <f t="shared" si="31"/>
        <v>#REF!</v>
      </c>
      <c r="BB12" s="470" t="e">
        <f t="shared" si="31"/>
        <v>#REF!</v>
      </c>
      <c r="BC12" s="470" t="e">
        <f t="shared" si="31"/>
        <v>#REF!</v>
      </c>
      <c r="BD12" s="470" t="e">
        <f t="shared" si="31"/>
        <v>#REF!</v>
      </c>
      <c r="BE12" s="470">
        <f t="shared" si="31"/>
        <v>875753</v>
      </c>
      <c r="BF12" s="470">
        <f t="shared" si="31"/>
        <v>720957</v>
      </c>
      <c r="BG12" s="470">
        <f t="shared" si="31"/>
        <v>28161</v>
      </c>
      <c r="BH12" s="470">
        <f t="shared" si="31"/>
        <v>749118</v>
      </c>
    </row>
    <row r="13" spans="1:79" ht="30">
      <c r="A13" s="16" t="s">
        <v>410</v>
      </c>
      <c r="B13" s="13"/>
      <c r="C13" s="379">
        <f>SUM(B13:B13)</f>
        <v>0</v>
      </c>
      <c r="D13" s="379"/>
      <c r="E13" s="379">
        <f>SUM(C13:D13)</f>
        <v>0</v>
      </c>
      <c r="F13" s="379"/>
      <c r="G13" s="379">
        <f t="shared" si="10"/>
        <v>0</v>
      </c>
      <c r="H13" s="379"/>
      <c r="I13" s="379">
        <f t="shared" si="11"/>
        <v>0</v>
      </c>
      <c r="J13" s="379"/>
      <c r="K13" s="379">
        <f t="shared" si="12"/>
        <v>0</v>
      </c>
      <c r="L13" s="379"/>
      <c r="M13" s="379">
        <f t="shared" si="13"/>
        <v>0</v>
      </c>
      <c r="N13" s="379"/>
      <c r="O13" s="379">
        <f t="shared" si="14"/>
        <v>0</v>
      </c>
      <c r="P13" s="379">
        <v>351039</v>
      </c>
      <c r="Q13" s="379"/>
      <c r="R13" s="379">
        <f t="shared" si="15"/>
        <v>351039</v>
      </c>
      <c r="S13" s="379"/>
      <c r="T13" s="379">
        <f t="shared" si="16"/>
        <v>351039</v>
      </c>
      <c r="U13" s="379"/>
      <c r="V13" s="379">
        <f>SUM(T13:U13)</f>
        <v>351039</v>
      </c>
      <c r="W13" s="379"/>
      <c r="X13" s="13">
        <f t="shared" si="8"/>
        <v>351039</v>
      </c>
      <c r="Y13" s="13"/>
      <c r="Z13" s="13">
        <f t="shared" si="17"/>
        <v>351039</v>
      </c>
      <c r="AA13" s="13">
        <v>-8843</v>
      </c>
      <c r="AB13" s="13">
        <f t="shared" si="18"/>
        <v>342196</v>
      </c>
      <c r="AC13" s="13"/>
      <c r="AD13" s="13">
        <f t="shared" si="19"/>
        <v>342196</v>
      </c>
      <c r="AE13" s="13"/>
      <c r="AF13" s="13">
        <f t="shared" si="20"/>
        <v>342196</v>
      </c>
      <c r="AG13" s="13"/>
      <c r="AH13" s="13">
        <f t="shared" si="21"/>
        <v>342196</v>
      </c>
      <c r="AI13" s="13">
        <v>385120</v>
      </c>
      <c r="AJ13" s="13">
        <v>1444</v>
      </c>
      <c r="AK13" s="13">
        <f t="shared" si="22"/>
        <v>386564</v>
      </c>
      <c r="AL13" s="12" t="s">
        <v>19</v>
      </c>
      <c r="AM13" s="411">
        <v>298</v>
      </c>
      <c r="AN13" s="411"/>
      <c r="AO13" s="411">
        <v>298</v>
      </c>
      <c r="AP13" s="411"/>
      <c r="AQ13" s="411">
        <v>298</v>
      </c>
      <c r="AR13" s="411"/>
      <c r="AS13" s="411">
        <f t="shared" si="5"/>
        <v>298</v>
      </c>
      <c r="AT13" s="411"/>
      <c r="AU13" s="411">
        <f t="shared" si="23"/>
        <v>298</v>
      </c>
      <c r="AV13" s="411"/>
      <c r="AW13" s="411">
        <f t="shared" si="24"/>
        <v>298</v>
      </c>
      <c r="AX13" s="411"/>
      <c r="AY13" s="411">
        <f t="shared" si="25"/>
        <v>298</v>
      </c>
      <c r="AZ13" s="411"/>
      <c r="BA13" s="411">
        <f t="shared" si="26"/>
        <v>298</v>
      </c>
      <c r="BB13" s="411"/>
      <c r="BC13" s="411">
        <f t="shared" si="6"/>
        <v>298</v>
      </c>
      <c r="BD13" s="411"/>
      <c r="BE13" s="411">
        <f t="shared" si="9"/>
        <v>298</v>
      </c>
      <c r="BF13" s="411"/>
      <c r="BG13" s="18"/>
      <c r="BH13" s="18">
        <f t="shared" si="7"/>
        <v>0</v>
      </c>
    </row>
    <row r="14" spans="1:79" ht="30">
      <c r="A14" s="16" t="s">
        <v>411</v>
      </c>
      <c r="B14" s="13"/>
      <c r="C14" s="379">
        <f>SUM(B14:B14)</f>
        <v>0</v>
      </c>
      <c r="D14" s="379"/>
      <c r="E14" s="379">
        <f>SUM(C14:D14)</f>
        <v>0</v>
      </c>
      <c r="F14" s="379"/>
      <c r="G14" s="379">
        <f t="shared" si="10"/>
        <v>0</v>
      </c>
      <c r="H14" s="379"/>
      <c r="I14" s="379">
        <f t="shared" si="11"/>
        <v>0</v>
      </c>
      <c r="J14" s="379"/>
      <c r="K14" s="379">
        <f t="shared" si="12"/>
        <v>0</v>
      </c>
      <c r="L14" s="379"/>
      <c r="M14" s="379">
        <f t="shared" si="13"/>
        <v>0</v>
      </c>
      <c r="N14" s="379">
        <v>30139</v>
      </c>
      <c r="O14" s="379">
        <f t="shared" si="14"/>
        <v>30139</v>
      </c>
      <c r="P14" s="379">
        <v>244884</v>
      </c>
      <c r="Q14" s="379"/>
      <c r="R14" s="379">
        <f t="shared" si="15"/>
        <v>244884</v>
      </c>
      <c r="S14" s="379"/>
      <c r="T14" s="379">
        <f t="shared" si="16"/>
        <v>244884</v>
      </c>
      <c r="U14" s="379"/>
      <c r="V14" s="379">
        <f t="shared" ref="V14:V19" si="32">SUM(T14:U14)</f>
        <v>244884</v>
      </c>
      <c r="W14" s="379"/>
      <c r="X14" s="13">
        <f t="shared" si="8"/>
        <v>244884</v>
      </c>
      <c r="Y14" s="13"/>
      <c r="Z14" s="13">
        <f t="shared" si="17"/>
        <v>244884</v>
      </c>
      <c r="AA14" s="13">
        <v>5898</v>
      </c>
      <c r="AB14" s="13">
        <f t="shared" si="18"/>
        <v>250782</v>
      </c>
      <c r="AC14" s="13"/>
      <c r="AD14" s="13">
        <f t="shared" si="19"/>
        <v>250782</v>
      </c>
      <c r="AE14" s="13"/>
      <c r="AF14" s="13">
        <f t="shared" si="20"/>
        <v>250782</v>
      </c>
      <c r="AG14" s="13"/>
      <c r="AH14" s="13">
        <f t="shared" si="21"/>
        <v>250782</v>
      </c>
      <c r="AI14" s="13">
        <v>317052</v>
      </c>
      <c r="AJ14" s="13"/>
      <c r="AK14" s="13">
        <f t="shared" si="22"/>
        <v>317052</v>
      </c>
      <c r="AL14" s="12" t="s">
        <v>20</v>
      </c>
      <c r="AM14" s="411">
        <f>'Pe.átad., Kölcsönök'!C35</f>
        <v>20811</v>
      </c>
      <c r="AN14" s="411">
        <f>'Pe.átad., Kölcsönök'!D35</f>
        <v>0</v>
      </c>
      <c r="AO14" s="411">
        <f>'Pe.átad., Kölcsönök'!E35</f>
        <v>20811</v>
      </c>
      <c r="AP14" s="411">
        <f>'Pe.átad., Kölcsönök'!F35</f>
        <v>0</v>
      </c>
      <c r="AQ14" s="411">
        <f>'Pe.átad., Kölcsönök'!G35</f>
        <v>20811</v>
      </c>
      <c r="AR14" s="411">
        <f>'Pe.átad., Kölcsönök'!H35</f>
        <v>-100</v>
      </c>
      <c r="AS14" s="411">
        <f>'Pe.átad., Kölcsönök'!I35</f>
        <v>20711</v>
      </c>
      <c r="AT14" s="411">
        <f>'Pe.átad., Kölcsönök'!J35</f>
        <v>0</v>
      </c>
      <c r="AU14" s="411">
        <f>'Pe.átad., Kölcsönök'!K35</f>
        <v>20711</v>
      </c>
      <c r="AV14" s="411">
        <f>'Pe.átad., Kölcsönök'!L35</f>
        <v>0</v>
      </c>
      <c r="AW14" s="411">
        <f>'Pe.átad., Kölcsönök'!M35</f>
        <v>20711</v>
      </c>
      <c r="AX14" s="411">
        <f>'Pe.átad., Kölcsönök'!N35</f>
        <v>0</v>
      </c>
      <c r="AY14" s="411">
        <f>'Pe.átad., Kölcsönök'!O35</f>
        <v>20711</v>
      </c>
      <c r="AZ14" s="411">
        <f>'Pe.átad., Kölcsönök'!P35</f>
        <v>0</v>
      </c>
      <c r="BA14" s="411">
        <f>'Pe.átad., Kölcsönök'!Q35</f>
        <v>20711</v>
      </c>
      <c r="BB14" s="411">
        <f>'Pe.átad., Kölcsönök'!R35</f>
        <v>-334</v>
      </c>
      <c r="BC14" s="411">
        <f>'Pe.átad., Kölcsönök'!S35</f>
        <v>20377</v>
      </c>
      <c r="BD14" s="411">
        <f>'Pe.átad., Kölcsönök'!T35</f>
        <v>0</v>
      </c>
      <c r="BE14" s="411">
        <f t="shared" si="9"/>
        <v>20377</v>
      </c>
      <c r="BF14" s="411">
        <f>'Pe.átad., Kölcsönök'!V35</f>
        <v>19672</v>
      </c>
      <c r="BG14" s="18">
        <f>'Pe.átad., Kölcsönök'!W35</f>
        <v>-290</v>
      </c>
      <c r="BH14" s="18">
        <f t="shared" si="7"/>
        <v>19382</v>
      </c>
    </row>
    <row r="15" spans="1:79" ht="39" customHeight="1">
      <c r="A15" s="16" t="s">
        <v>412</v>
      </c>
      <c r="B15" s="13"/>
      <c r="C15" s="379">
        <f>SUM(B15:B15)</f>
        <v>0</v>
      </c>
      <c r="D15" s="379"/>
      <c r="E15" s="379">
        <f>SUM(C15:D15)</f>
        <v>0</v>
      </c>
      <c r="F15" s="379"/>
      <c r="G15" s="379">
        <f>SUM(E15:F15)</f>
        <v>0</v>
      </c>
      <c r="H15" s="379"/>
      <c r="I15" s="379">
        <f>SUM(G15:H15)</f>
        <v>0</v>
      </c>
      <c r="J15" s="379"/>
      <c r="K15" s="379">
        <f>SUM(I15:J15)</f>
        <v>0</v>
      </c>
      <c r="L15" s="379"/>
      <c r="M15" s="379">
        <f>SUM(K15:L15)</f>
        <v>0</v>
      </c>
      <c r="N15" s="379">
        <v>-1059</v>
      </c>
      <c r="O15" s="379">
        <f>SUM(M15:N15)</f>
        <v>-1059</v>
      </c>
      <c r="P15" s="379">
        <v>211090</v>
      </c>
      <c r="Q15" s="379"/>
      <c r="R15" s="379">
        <f>SUM(P15:Q15)</f>
        <v>211090</v>
      </c>
      <c r="S15" s="379"/>
      <c r="T15" s="379">
        <f t="shared" si="16"/>
        <v>211090</v>
      </c>
      <c r="U15" s="379"/>
      <c r="V15" s="379">
        <f t="shared" si="32"/>
        <v>211090</v>
      </c>
      <c r="W15" s="379"/>
      <c r="X15" s="13">
        <f t="shared" si="8"/>
        <v>211090</v>
      </c>
      <c r="Y15" s="13"/>
      <c r="Z15" s="13">
        <f t="shared" si="17"/>
        <v>211090</v>
      </c>
      <c r="AA15" s="13">
        <v>7788</v>
      </c>
      <c r="AB15" s="13">
        <f t="shared" si="18"/>
        <v>218878</v>
      </c>
      <c r="AC15" s="13"/>
      <c r="AD15" s="13">
        <f t="shared" si="19"/>
        <v>218878</v>
      </c>
      <c r="AE15" s="13"/>
      <c r="AF15" s="13">
        <f t="shared" si="20"/>
        <v>218878</v>
      </c>
      <c r="AG15" s="13"/>
      <c r="AH15" s="13">
        <f t="shared" si="21"/>
        <v>218878</v>
      </c>
      <c r="AI15" s="13">
        <v>233531</v>
      </c>
      <c r="AJ15" s="13"/>
      <c r="AK15" s="13">
        <f t="shared" si="22"/>
        <v>233531</v>
      </c>
      <c r="AL15" s="507" t="s">
        <v>561</v>
      </c>
      <c r="AM15" s="411"/>
      <c r="AN15" s="411">
        <f>'Pe.átad., Kölcsönök'!D38</f>
        <v>3000</v>
      </c>
      <c r="AO15" s="411">
        <f>'Pe.átad., Kölcsönök'!E38</f>
        <v>3000</v>
      </c>
      <c r="AP15" s="411">
        <f>'Pe.átad., Kölcsönök'!F38</f>
        <v>0</v>
      </c>
      <c r="AQ15" s="411">
        <f>'Pe.átad., Kölcsönök'!G38</f>
        <v>3000</v>
      </c>
      <c r="AR15" s="411">
        <f>'Pe.átad., Kölcsönök'!H38</f>
        <v>0</v>
      </c>
      <c r="AS15" s="411">
        <f t="shared" si="5"/>
        <v>3000</v>
      </c>
      <c r="AT15" s="411">
        <f>'Pe.átad., Kölcsönök'!J38</f>
        <v>0</v>
      </c>
      <c r="AU15" s="411">
        <f t="shared" si="23"/>
        <v>3000</v>
      </c>
      <c r="AV15" s="411">
        <f>'Pe.átad., Kölcsönök'!L38</f>
        <v>0</v>
      </c>
      <c r="AW15" s="411">
        <f t="shared" si="24"/>
        <v>3000</v>
      </c>
      <c r="AX15" s="411">
        <f>'Pe.átad., Kölcsönök'!N38</f>
        <v>0</v>
      </c>
      <c r="AY15" s="411">
        <f t="shared" si="25"/>
        <v>3000</v>
      </c>
      <c r="AZ15" s="411">
        <f>'Pe.átad., Kölcsönök'!P38</f>
        <v>0</v>
      </c>
      <c r="BA15" s="411">
        <f>SUM(AY15:AZ15)</f>
        <v>3000</v>
      </c>
      <c r="BB15" s="411"/>
      <c r="BC15" s="411">
        <f t="shared" si="6"/>
        <v>3000</v>
      </c>
      <c r="BD15" s="411">
        <f>'Pe.átad., Kölcsönök'!T38</f>
        <v>0</v>
      </c>
      <c r="BE15" s="411">
        <v>56545</v>
      </c>
      <c r="BF15" s="411">
        <f>'Pe.átad., Kölcsönök'!V38</f>
        <v>0</v>
      </c>
      <c r="BG15" s="18"/>
      <c r="BH15" s="18">
        <f t="shared" si="7"/>
        <v>0</v>
      </c>
    </row>
    <row r="16" spans="1:79" ht="30">
      <c r="A16" s="16" t="s">
        <v>413</v>
      </c>
      <c r="B16" s="13">
        <v>20885</v>
      </c>
      <c r="C16" s="379">
        <f>SUM(B16:B16)</f>
        <v>20885</v>
      </c>
      <c r="D16" s="379"/>
      <c r="E16" s="379">
        <f>SUM(C16:D16)</f>
        <v>20885</v>
      </c>
      <c r="F16" s="379">
        <f>6819+6668</f>
        <v>13487</v>
      </c>
      <c r="G16" s="379">
        <f>SUM(E16:F16)</f>
        <v>34372</v>
      </c>
      <c r="H16" s="379">
        <v>6748</v>
      </c>
      <c r="I16" s="379">
        <f>SUM(G16:H16)</f>
        <v>41120</v>
      </c>
      <c r="J16" s="379">
        <f>6773+6673</f>
        <v>13446</v>
      </c>
      <c r="K16" s="379">
        <f>SUM(I16:J16)</f>
        <v>54566</v>
      </c>
      <c r="L16" s="379">
        <v>6635</v>
      </c>
      <c r="M16" s="379">
        <f>SUM(K16:L16)</f>
        <v>61201</v>
      </c>
      <c r="N16" s="379">
        <v>6674</v>
      </c>
      <c r="O16" s="379">
        <v>74544</v>
      </c>
      <c r="P16" s="379"/>
      <c r="Q16" s="379">
        <f>6725+6911+7059</f>
        <v>20695</v>
      </c>
      <c r="R16" s="379">
        <f>SUM(P16:Q16)</f>
        <v>20695</v>
      </c>
      <c r="S16" s="379">
        <v>7080</v>
      </c>
      <c r="T16" s="379">
        <f t="shared" si="16"/>
        <v>27775</v>
      </c>
      <c r="U16" s="379">
        <v>7065</v>
      </c>
      <c r="V16" s="379">
        <f t="shared" si="32"/>
        <v>34840</v>
      </c>
      <c r="W16" s="379">
        <v>6942</v>
      </c>
      <c r="X16" s="13">
        <f t="shared" si="8"/>
        <v>41782</v>
      </c>
      <c r="Y16" s="13">
        <f>6739+6803</f>
        <v>13542</v>
      </c>
      <c r="Z16" s="13">
        <f t="shared" si="17"/>
        <v>55324</v>
      </c>
      <c r="AA16" s="13">
        <v>6639</v>
      </c>
      <c r="AB16" s="13">
        <f t="shared" si="18"/>
        <v>61963</v>
      </c>
      <c r="AC16" s="13">
        <v>6424</v>
      </c>
      <c r="AD16" s="13">
        <f t="shared" si="19"/>
        <v>68387</v>
      </c>
      <c r="AE16" s="13">
        <v>6202</v>
      </c>
      <c r="AF16" s="13">
        <f t="shared" si="20"/>
        <v>74589</v>
      </c>
      <c r="AG16" s="13">
        <v>6059</v>
      </c>
      <c r="AH16" s="13">
        <f t="shared" si="21"/>
        <v>80648</v>
      </c>
      <c r="AI16" s="13"/>
      <c r="AJ16" s="13">
        <f>6184+6081+12864</f>
        <v>25129</v>
      </c>
      <c r="AK16" s="13">
        <f t="shared" si="22"/>
        <v>25129</v>
      </c>
      <c r="AL16" s="12" t="s">
        <v>21</v>
      </c>
      <c r="AM16" s="411">
        <f>'Pe.átad., Kölcsönök'!C27</f>
        <v>425403</v>
      </c>
      <c r="AN16" s="411" t="e">
        <f>'Pe.átad., Kölcsönök'!D27</f>
        <v>#REF!</v>
      </c>
      <c r="AO16" s="411">
        <f>'Pe.átad., Kölcsönök'!E27</f>
        <v>418403</v>
      </c>
      <c r="AP16" s="411">
        <f>'Pe.átad., Kölcsönök'!F27</f>
        <v>9917</v>
      </c>
      <c r="AQ16" s="411">
        <f>'Pe.átad., Kölcsönök'!G27</f>
        <v>428320</v>
      </c>
      <c r="AR16" s="411">
        <f>'Pe.átad., Kölcsönök'!H27</f>
        <v>-461</v>
      </c>
      <c r="AS16" s="411">
        <f>'Pe.átad., Kölcsönök'!I27</f>
        <v>427859</v>
      </c>
      <c r="AT16" s="411">
        <f>'Pe.átad., Kölcsönök'!J27</f>
        <v>3571</v>
      </c>
      <c r="AU16" s="411">
        <f>'Pe.átad., Kölcsönök'!K27</f>
        <v>431430</v>
      </c>
      <c r="AV16" s="411">
        <f>'Pe.átad., Kölcsönök'!L27</f>
        <v>-2297</v>
      </c>
      <c r="AW16" s="411">
        <f>'Pe.átad., Kölcsönök'!M27</f>
        <v>429133</v>
      </c>
      <c r="AX16" s="411">
        <f>'Pe.átad., Kölcsönök'!N27</f>
        <v>-283</v>
      </c>
      <c r="AY16" s="411">
        <f>'Pe.átad., Kölcsönök'!O27</f>
        <v>428850</v>
      </c>
      <c r="AZ16" s="411">
        <f>'Pe.átad., Kölcsönök'!P27</f>
        <v>0</v>
      </c>
      <c r="BA16" s="411">
        <f>'Pe.átad., Kölcsönök'!Q27</f>
        <v>428850</v>
      </c>
      <c r="BB16" s="411">
        <f>'Pe.átad., Kölcsönök'!R27</f>
        <v>0</v>
      </c>
      <c r="BC16" s="411">
        <f>'Pe.átad., Kölcsönök'!S27</f>
        <v>428850</v>
      </c>
      <c r="BD16" s="411">
        <f>'Pe.átad., Kölcsönök'!T27</f>
        <v>0</v>
      </c>
      <c r="BE16" s="411">
        <v>460101</v>
      </c>
      <c r="BF16" s="411">
        <f>'Pe.átad., Kölcsönök'!V27</f>
        <v>492347</v>
      </c>
      <c r="BG16" s="18">
        <f>'Pe.átad., Kölcsönök'!W27</f>
        <v>-24000</v>
      </c>
      <c r="BH16" s="18">
        <f t="shared" si="7"/>
        <v>468347</v>
      </c>
    </row>
    <row r="17" spans="1:60" ht="15.75" customHeight="1">
      <c r="A17" s="16" t="s">
        <v>420</v>
      </c>
      <c r="B17" s="13">
        <v>27</v>
      </c>
      <c r="C17" s="379">
        <f>SUM(B17:B17)</f>
        <v>27</v>
      </c>
      <c r="D17" s="379"/>
      <c r="E17" s="379">
        <f>SUM(C17:D17)</f>
        <v>27</v>
      </c>
      <c r="F17" s="379">
        <f>14+14</f>
        <v>28</v>
      </c>
      <c r="G17" s="379">
        <f>SUM(E17:F17)</f>
        <v>55</v>
      </c>
      <c r="H17" s="379">
        <v>14</v>
      </c>
      <c r="I17" s="379">
        <f>SUM(G17:H17)</f>
        <v>69</v>
      </c>
      <c r="J17" s="379">
        <f>14+14</f>
        <v>28</v>
      </c>
      <c r="K17" s="379">
        <f>SUM(I17:J17)</f>
        <v>97</v>
      </c>
      <c r="L17" s="379">
        <v>14</v>
      </c>
      <c r="M17" s="379">
        <f>SUM(K17:L17)</f>
        <v>111</v>
      </c>
      <c r="N17" s="379">
        <v>11</v>
      </c>
      <c r="O17" s="379">
        <v>133</v>
      </c>
      <c r="P17" s="379"/>
      <c r="Q17" s="379">
        <v>60</v>
      </c>
      <c r="R17" s="379">
        <f t="shared" ref="R17:R19" si="33">SUM(P17:Q17)</f>
        <v>60</v>
      </c>
      <c r="S17" s="379">
        <v>23</v>
      </c>
      <c r="T17" s="379">
        <f t="shared" si="16"/>
        <v>83</v>
      </c>
      <c r="U17" s="379">
        <v>24</v>
      </c>
      <c r="V17" s="379">
        <f t="shared" si="32"/>
        <v>107</v>
      </c>
      <c r="W17" s="379">
        <v>23</v>
      </c>
      <c r="X17" s="13">
        <f t="shared" si="8"/>
        <v>130</v>
      </c>
      <c r="Y17" s="13">
        <f>23+23</f>
        <v>46</v>
      </c>
      <c r="Z17" s="13">
        <f t="shared" si="17"/>
        <v>176</v>
      </c>
      <c r="AA17" s="13">
        <v>23</v>
      </c>
      <c r="AB17" s="13">
        <f t="shared" si="18"/>
        <v>199</v>
      </c>
      <c r="AC17" s="13">
        <v>23</v>
      </c>
      <c r="AD17" s="13">
        <f t="shared" si="19"/>
        <v>222</v>
      </c>
      <c r="AE17" s="13">
        <v>20</v>
      </c>
      <c r="AF17" s="13">
        <f t="shared" si="20"/>
        <v>242</v>
      </c>
      <c r="AG17" s="13">
        <v>24</v>
      </c>
      <c r="AH17" s="13">
        <f t="shared" si="21"/>
        <v>266</v>
      </c>
      <c r="AI17" s="13"/>
      <c r="AJ17" s="13">
        <v>30</v>
      </c>
      <c r="AK17" s="13">
        <f t="shared" si="22"/>
        <v>30</v>
      </c>
      <c r="AL17" s="12" t="s">
        <v>425</v>
      </c>
      <c r="AM17" s="13">
        <f>150651-500</f>
        <v>150151</v>
      </c>
      <c r="AN17" s="13">
        <f>-2160-4000-39530-22826</f>
        <v>-68516</v>
      </c>
      <c r="AO17" s="13">
        <f>SUM(AM17:AN17)</f>
        <v>81635</v>
      </c>
      <c r="AP17" s="13">
        <f>43000+30000-38921-4724+6788+3664-960-15774-3239-14143</f>
        <v>5691</v>
      </c>
      <c r="AQ17" s="13">
        <f>SUM(AO17:AP17)</f>
        <v>87326</v>
      </c>
      <c r="AR17" s="13">
        <f>886-3500-11174-23058</f>
        <v>-36846</v>
      </c>
      <c r="AS17" s="18">
        <f t="shared" si="5"/>
        <v>50480</v>
      </c>
      <c r="AT17" s="18">
        <f>1588-2334-1237-2159-12700+4600+5033+116466-174+39530</f>
        <v>148613</v>
      </c>
      <c r="AU17" s="18">
        <f t="shared" si="23"/>
        <v>199093</v>
      </c>
      <c r="AV17" s="18">
        <f>7846-369+500+2334-2311</f>
        <v>8000</v>
      </c>
      <c r="AW17" s="18">
        <f t="shared" si="24"/>
        <v>207093</v>
      </c>
      <c r="AX17" s="18">
        <f>23058+19454+10145-650-15000-11500</f>
        <v>25507</v>
      </c>
      <c r="AY17" s="18">
        <f t="shared" si="25"/>
        <v>232600</v>
      </c>
      <c r="AZ17" s="18">
        <f>1121-6215-750-4500</f>
        <v>-10344</v>
      </c>
      <c r="BA17" s="18">
        <f t="shared" si="26"/>
        <v>222256</v>
      </c>
      <c r="BB17" s="18">
        <f>400</f>
        <v>400</v>
      </c>
      <c r="BC17" s="18">
        <f t="shared" si="6"/>
        <v>222656</v>
      </c>
      <c r="BD17" s="18">
        <f>27044+4656-3000-11250-2295-20000-10000-10000+15534-3500-6000</f>
        <v>-18811</v>
      </c>
      <c r="BE17" s="18">
        <v>203845</v>
      </c>
      <c r="BF17" s="18">
        <f>150000-50000</f>
        <v>100000</v>
      </c>
      <c r="BG17" s="18">
        <f>46574+1444+66930-59637</f>
        <v>55311</v>
      </c>
      <c r="BH17" s="18">
        <f t="shared" si="7"/>
        <v>155311</v>
      </c>
    </row>
    <row r="18" spans="1:60" ht="15.75" customHeight="1">
      <c r="A18" s="16" t="s">
        <v>431</v>
      </c>
      <c r="B18" s="13"/>
      <c r="C18" s="379"/>
      <c r="D18" s="379"/>
      <c r="E18" s="379"/>
      <c r="F18" s="379"/>
      <c r="G18" s="379"/>
      <c r="H18" s="379"/>
      <c r="I18" s="379"/>
      <c r="J18" s="379">
        <v>6244</v>
      </c>
      <c r="K18" s="379">
        <f>SUM(I18:J18)</f>
        <v>6244</v>
      </c>
      <c r="L18" s="379"/>
      <c r="M18" s="379">
        <f>SUM(K18:L18)</f>
        <v>6244</v>
      </c>
      <c r="N18" s="379"/>
      <c r="O18" s="379">
        <f>SUM(M18:N18)</f>
        <v>6244</v>
      </c>
      <c r="P18" s="379"/>
      <c r="Q18" s="379"/>
      <c r="R18" s="379">
        <f t="shared" si="33"/>
        <v>0</v>
      </c>
      <c r="S18" s="379"/>
      <c r="T18" s="379">
        <f t="shared" si="16"/>
        <v>0</v>
      </c>
      <c r="U18" s="379"/>
      <c r="V18" s="379">
        <f t="shared" si="32"/>
        <v>0</v>
      </c>
      <c r="W18" s="379"/>
      <c r="X18" s="13">
        <f t="shared" si="8"/>
        <v>0</v>
      </c>
      <c r="Y18" s="13"/>
      <c r="Z18" s="13">
        <f t="shared" si="17"/>
        <v>0</v>
      </c>
      <c r="AA18" s="13"/>
      <c r="AB18" s="13">
        <f t="shared" si="18"/>
        <v>0</v>
      </c>
      <c r="AC18" s="13"/>
      <c r="AD18" s="13">
        <f t="shared" si="19"/>
        <v>0</v>
      </c>
      <c r="AE18" s="13"/>
      <c r="AF18" s="13">
        <f t="shared" si="20"/>
        <v>0</v>
      </c>
      <c r="AG18" s="13"/>
      <c r="AH18" s="13">
        <f t="shared" si="21"/>
        <v>0</v>
      </c>
      <c r="AI18" s="13"/>
      <c r="AJ18" s="13"/>
      <c r="AK18" s="13">
        <f t="shared" si="22"/>
        <v>0</v>
      </c>
      <c r="AL18" s="12" t="s">
        <v>426</v>
      </c>
      <c r="AM18" s="18">
        <v>145840</v>
      </c>
      <c r="AN18" s="18" t="e">
        <f>'Célf.'!#REF!</f>
        <v>#REF!</v>
      </c>
      <c r="AO18" s="18" t="e">
        <f>'Célf.'!#REF!</f>
        <v>#REF!</v>
      </c>
      <c r="AP18" s="18" t="e">
        <f>'Célf.'!#REF!</f>
        <v>#REF!</v>
      </c>
      <c r="AQ18" s="18" t="e">
        <f>'Célf.'!#REF!</f>
        <v>#REF!</v>
      </c>
      <c r="AR18" s="13" t="e">
        <f>'Célf.'!#REF!</f>
        <v>#REF!</v>
      </c>
      <c r="AS18" s="18" t="e">
        <f t="shared" si="5"/>
        <v>#REF!</v>
      </c>
      <c r="AT18" s="18" t="e">
        <f>'Célf.'!#REF!</f>
        <v>#REF!</v>
      </c>
      <c r="AU18" s="18" t="e">
        <f t="shared" si="23"/>
        <v>#REF!</v>
      </c>
      <c r="AV18" s="18" t="e">
        <f>'Célf.'!#REF!</f>
        <v>#REF!</v>
      </c>
      <c r="AW18" s="18" t="e">
        <f t="shared" si="24"/>
        <v>#REF!</v>
      </c>
      <c r="AX18" s="18" t="e">
        <f>'Célf.'!#REF!</f>
        <v>#REF!</v>
      </c>
      <c r="AY18" s="18" t="e">
        <f t="shared" si="25"/>
        <v>#REF!</v>
      </c>
      <c r="AZ18" s="18" t="e">
        <f>'Célf.'!#REF!</f>
        <v>#REF!</v>
      </c>
      <c r="BA18" s="18" t="e">
        <f t="shared" si="26"/>
        <v>#REF!</v>
      </c>
      <c r="BB18" s="18" t="e">
        <f>'Célf.'!#REF!</f>
        <v>#REF!</v>
      </c>
      <c r="BC18" s="18" t="e">
        <f t="shared" si="6"/>
        <v>#REF!</v>
      </c>
      <c r="BD18" s="18" t="e">
        <f>'Célf.'!#REF!</f>
        <v>#REF!</v>
      </c>
      <c r="BE18" s="18">
        <v>134587</v>
      </c>
      <c r="BF18" s="18">
        <f>'Célf.'!C13</f>
        <v>108938</v>
      </c>
      <c r="BG18" s="18">
        <f>'Célf.'!D13</f>
        <v>-2860</v>
      </c>
      <c r="BH18" s="18">
        <f t="shared" si="7"/>
        <v>106078</v>
      </c>
    </row>
    <row r="19" spans="1:60" ht="15.75" hidden="1" customHeight="1">
      <c r="A19" s="16" t="s">
        <v>433</v>
      </c>
      <c r="B19" s="13"/>
      <c r="C19" s="379"/>
      <c r="D19" s="379"/>
      <c r="E19" s="379"/>
      <c r="F19" s="379"/>
      <c r="G19" s="379"/>
      <c r="H19" s="379"/>
      <c r="I19" s="379"/>
      <c r="J19" s="379"/>
      <c r="K19" s="379"/>
      <c r="L19" s="379">
        <v>10928</v>
      </c>
      <c r="M19" s="379">
        <f>SUM(K19:L19)</f>
        <v>10928</v>
      </c>
      <c r="N19" s="379"/>
      <c r="O19" s="379">
        <f>SUM(M19:N19)</f>
        <v>10928</v>
      </c>
      <c r="P19" s="379"/>
      <c r="Q19" s="379"/>
      <c r="R19" s="379">
        <f t="shared" si="33"/>
        <v>0</v>
      </c>
      <c r="S19" s="379"/>
      <c r="T19" s="379">
        <f t="shared" si="16"/>
        <v>0</v>
      </c>
      <c r="U19" s="379"/>
      <c r="V19" s="379">
        <f t="shared" si="32"/>
        <v>0</v>
      </c>
      <c r="W19" s="379"/>
      <c r="X19" s="13">
        <f t="shared" si="8"/>
        <v>0</v>
      </c>
      <c r="Y19" s="13"/>
      <c r="Z19" s="13">
        <f t="shared" si="17"/>
        <v>0</v>
      </c>
      <c r="AA19" s="13"/>
      <c r="AB19" s="13">
        <f t="shared" si="18"/>
        <v>0</v>
      </c>
      <c r="AC19" s="13"/>
      <c r="AD19" s="13">
        <f t="shared" si="19"/>
        <v>0</v>
      </c>
      <c r="AE19" s="13"/>
      <c r="AF19" s="13">
        <f t="shared" si="20"/>
        <v>0</v>
      </c>
      <c r="AG19" s="13"/>
      <c r="AH19" s="13">
        <f t="shared" si="21"/>
        <v>0</v>
      </c>
      <c r="AI19" s="13"/>
      <c r="AJ19" s="13"/>
      <c r="AK19" s="13">
        <f t="shared" si="22"/>
        <v>0</v>
      </c>
      <c r="AL19" s="12"/>
      <c r="AM19" s="388"/>
      <c r="AN19" s="388"/>
      <c r="AO19" s="388"/>
      <c r="AP19" s="388"/>
      <c r="AQ19" s="388"/>
      <c r="AR19" s="388"/>
      <c r="AS19" s="388"/>
      <c r="AT19" s="388"/>
      <c r="AU19" s="388"/>
      <c r="AV19" s="388"/>
      <c r="AW19" s="388"/>
      <c r="AX19" s="388"/>
      <c r="AY19" s="388"/>
      <c r="AZ19" s="388"/>
      <c r="BA19" s="388"/>
      <c r="BB19" s="388"/>
      <c r="BC19" s="388"/>
      <c r="BD19" s="388"/>
      <c r="BE19" s="388"/>
      <c r="BF19" s="388"/>
      <c r="BG19" s="18"/>
      <c r="BH19" s="18">
        <f t="shared" si="7"/>
        <v>0</v>
      </c>
    </row>
    <row r="20" spans="1:60" ht="27.75" customHeight="1">
      <c r="A20" s="12" t="s">
        <v>22</v>
      </c>
      <c r="B20" s="13">
        <f t="shared" ref="B20:AK20" si="34">B21+B22+B23</f>
        <v>2635</v>
      </c>
      <c r="C20" s="13">
        <f t="shared" si="34"/>
        <v>2635</v>
      </c>
      <c r="D20" s="13">
        <f t="shared" si="34"/>
        <v>0</v>
      </c>
      <c r="E20" s="13">
        <f t="shared" si="34"/>
        <v>2635</v>
      </c>
      <c r="F20" s="13">
        <f t="shared" si="34"/>
        <v>2171</v>
      </c>
      <c r="G20" s="13">
        <f t="shared" si="34"/>
        <v>4806</v>
      </c>
      <c r="H20" s="13">
        <f t="shared" si="34"/>
        <v>837</v>
      </c>
      <c r="I20" s="13">
        <f t="shared" si="34"/>
        <v>5643</v>
      </c>
      <c r="J20" s="13">
        <f t="shared" si="34"/>
        <v>1692</v>
      </c>
      <c r="K20" s="13">
        <f t="shared" si="34"/>
        <v>7335</v>
      </c>
      <c r="L20" s="13">
        <f t="shared" si="34"/>
        <v>855</v>
      </c>
      <c r="M20" s="13">
        <f t="shared" si="34"/>
        <v>8190</v>
      </c>
      <c r="N20" s="13">
        <f t="shared" si="34"/>
        <v>855</v>
      </c>
      <c r="O20" s="13">
        <f t="shared" si="34"/>
        <v>9900</v>
      </c>
      <c r="P20" s="13">
        <f t="shared" si="34"/>
        <v>57385</v>
      </c>
      <c r="Q20" s="13">
        <f t="shared" si="34"/>
        <v>2542</v>
      </c>
      <c r="R20" s="13">
        <f t="shared" si="34"/>
        <v>59927</v>
      </c>
      <c r="S20" s="13">
        <f t="shared" si="34"/>
        <v>859</v>
      </c>
      <c r="T20" s="13">
        <f t="shared" si="34"/>
        <v>60786</v>
      </c>
      <c r="U20" s="13">
        <f t="shared" si="34"/>
        <v>1372</v>
      </c>
      <c r="V20" s="13">
        <f t="shared" si="34"/>
        <v>62158</v>
      </c>
      <c r="W20" s="13">
        <f t="shared" si="34"/>
        <v>860</v>
      </c>
      <c r="X20" s="13">
        <f t="shared" si="34"/>
        <v>63018</v>
      </c>
      <c r="Y20" s="13">
        <f t="shared" si="34"/>
        <v>1711</v>
      </c>
      <c r="Z20" s="13">
        <f t="shared" si="34"/>
        <v>64729</v>
      </c>
      <c r="AA20" s="13">
        <f t="shared" si="34"/>
        <v>831</v>
      </c>
      <c r="AB20" s="13">
        <f t="shared" si="34"/>
        <v>65560</v>
      </c>
      <c r="AC20" s="13">
        <f t="shared" si="34"/>
        <v>826</v>
      </c>
      <c r="AD20" s="13">
        <f t="shared" si="34"/>
        <v>66386</v>
      </c>
      <c r="AE20" s="13">
        <f t="shared" si="34"/>
        <v>803</v>
      </c>
      <c r="AF20" s="13">
        <f t="shared" si="34"/>
        <v>67189</v>
      </c>
      <c r="AG20" s="13">
        <f t="shared" si="34"/>
        <v>808</v>
      </c>
      <c r="AH20" s="13">
        <f t="shared" si="34"/>
        <v>67997</v>
      </c>
      <c r="AI20" s="13">
        <f t="shared" si="34"/>
        <v>58481</v>
      </c>
      <c r="AJ20" s="13">
        <f t="shared" si="34"/>
        <v>2502</v>
      </c>
      <c r="AK20" s="13">
        <f t="shared" si="34"/>
        <v>60983</v>
      </c>
      <c r="AL20" s="12"/>
      <c r="AM20" s="388"/>
      <c r="AN20" s="388"/>
      <c r="AO20" s="388"/>
      <c r="AP20" s="388"/>
      <c r="AQ20" s="388"/>
      <c r="AR20" s="388"/>
      <c r="AS20" s="388"/>
      <c r="AT20" s="388"/>
      <c r="AU20" s="388"/>
      <c r="AV20" s="388"/>
      <c r="AW20" s="388"/>
      <c r="AX20" s="388"/>
      <c r="AY20" s="388"/>
      <c r="AZ20" s="388"/>
      <c r="BA20" s="388"/>
      <c r="BB20" s="388"/>
      <c r="BC20" s="388"/>
      <c r="BD20" s="388"/>
      <c r="BE20" s="388"/>
      <c r="BF20" s="388"/>
      <c r="BG20" s="18"/>
      <c r="BH20" s="18"/>
    </row>
    <row r="21" spans="1:60" ht="30.75" customHeight="1">
      <c r="A21" s="12" t="s">
        <v>23</v>
      </c>
      <c r="B21" s="13"/>
      <c r="C21" s="379">
        <f>SUM(B21:B21)</f>
        <v>0</v>
      </c>
      <c r="D21" s="379"/>
      <c r="E21" s="379">
        <f>SUM(C21:D21)</f>
        <v>0</v>
      </c>
      <c r="F21" s="379"/>
      <c r="G21" s="379">
        <f>SUM(E21:F21)</f>
        <v>0</v>
      </c>
      <c r="H21" s="379"/>
      <c r="I21" s="379">
        <f>SUM(G21:H21)</f>
        <v>0</v>
      </c>
      <c r="J21" s="379"/>
      <c r="K21" s="379">
        <f>SUM(I21:J21)</f>
        <v>0</v>
      </c>
      <c r="L21" s="379"/>
      <c r="M21" s="379">
        <f>SUM(K21:L21)</f>
        <v>0</v>
      </c>
      <c r="N21" s="379"/>
      <c r="O21" s="379">
        <f>SUM(M21:N21)</f>
        <v>0</v>
      </c>
      <c r="P21" s="379">
        <v>57385</v>
      </c>
      <c r="Q21" s="379"/>
      <c r="R21" s="379">
        <v>57385</v>
      </c>
      <c r="S21" s="379"/>
      <c r="T21" s="379">
        <f t="shared" si="16"/>
        <v>57385</v>
      </c>
      <c r="U21" s="379"/>
      <c r="V21" s="379">
        <f>SUM(T21:U21)</f>
        <v>57385</v>
      </c>
      <c r="W21" s="379"/>
      <c r="X21" s="13">
        <f t="shared" si="8"/>
        <v>57385</v>
      </c>
      <c r="Y21" s="13"/>
      <c r="Z21" s="13">
        <f t="shared" si="17"/>
        <v>57385</v>
      </c>
      <c r="AA21" s="13"/>
      <c r="AB21" s="13">
        <f t="shared" si="18"/>
        <v>57385</v>
      </c>
      <c r="AC21" s="13"/>
      <c r="AD21" s="13">
        <f t="shared" si="19"/>
        <v>57385</v>
      </c>
      <c r="AE21" s="13"/>
      <c r="AF21" s="13">
        <f t="shared" si="20"/>
        <v>57385</v>
      </c>
      <c r="AG21" s="13"/>
      <c r="AH21" s="13">
        <f t="shared" si="21"/>
        <v>57385</v>
      </c>
      <c r="AI21" s="13">
        <f>37724+20757</f>
        <v>58481</v>
      </c>
      <c r="AJ21" s="13"/>
      <c r="AK21" s="13">
        <f t="shared" si="22"/>
        <v>58481</v>
      </c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</row>
    <row r="22" spans="1:60">
      <c r="A22" s="12" t="s">
        <v>24</v>
      </c>
      <c r="B22" s="13">
        <v>2635</v>
      </c>
      <c r="C22" s="379">
        <f>SUM(B22:B22)</f>
        <v>2635</v>
      </c>
      <c r="D22" s="379"/>
      <c r="E22" s="379">
        <f>SUM(C22:D22)</f>
        <v>2635</v>
      </c>
      <c r="F22" s="379">
        <f>883+828</f>
        <v>1711</v>
      </c>
      <c r="G22" s="379">
        <f>SUM(E22:F22)</f>
        <v>4346</v>
      </c>
      <c r="H22" s="379">
        <v>837</v>
      </c>
      <c r="I22" s="379">
        <f>SUM(G22:H22)</f>
        <v>5183</v>
      </c>
      <c r="J22" s="379">
        <f>837+855</f>
        <v>1692</v>
      </c>
      <c r="K22" s="379">
        <f>SUM(I22:J22)</f>
        <v>6875</v>
      </c>
      <c r="L22" s="379">
        <v>855</v>
      </c>
      <c r="M22" s="379">
        <f>SUM(K22:L22)</f>
        <v>7730</v>
      </c>
      <c r="N22" s="379">
        <v>855</v>
      </c>
      <c r="O22" s="379">
        <v>9440</v>
      </c>
      <c r="P22" s="379"/>
      <c r="Q22" s="379">
        <f>840+857+845</f>
        <v>2542</v>
      </c>
      <c r="R22" s="379">
        <f>SUM(P22:Q22)</f>
        <v>2542</v>
      </c>
      <c r="S22" s="379">
        <v>859</v>
      </c>
      <c r="T22" s="379">
        <f t="shared" si="16"/>
        <v>3401</v>
      </c>
      <c r="U22" s="379">
        <v>853</v>
      </c>
      <c r="V22" s="379">
        <f t="shared" ref="V22:V51" si="35">SUM(T22:U22)</f>
        <v>4254</v>
      </c>
      <c r="W22" s="379">
        <v>860</v>
      </c>
      <c r="X22" s="13">
        <f t="shared" si="8"/>
        <v>5114</v>
      </c>
      <c r="Y22" s="13">
        <f>863+848</f>
        <v>1711</v>
      </c>
      <c r="Z22" s="13">
        <f t="shared" si="17"/>
        <v>6825</v>
      </c>
      <c r="AA22" s="13">
        <v>831</v>
      </c>
      <c r="AB22" s="13">
        <f t="shared" si="18"/>
        <v>7656</v>
      </c>
      <c r="AC22" s="13">
        <v>826</v>
      </c>
      <c r="AD22" s="13">
        <f t="shared" si="19"/>
        <v>8482</v>
      </c>
      <c r="AE22" s="13">
        <v>803</v>
      </c>
      <c r="AF22" s="13">
        <f t="shared" si="20"/>
        <v>9285</v>
      </c>
      <c r="AG22" s="13">
        <v>808</v>
      </c>
      <c r="AH22" s="13">
        <f t="shared" si="21"/>
        <v>10093</v>
      </c>
      <c r="AI22" s="13"/>
      <c r="AJ22" s="13">
        <f>289+1363+850</f>
        <v>2502</v>
      </c>
      <c r="AK22" s="13">
        <f t="shared" si="22"/>
        <v>2502</v>
      </c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</row>
    <row r="23" spans="1:60">
      <c r="A23" s="12" t="s">
        <v>25</v>
      </c>
      <c r="B23" s="13"/>
      <c r="C23" s="379">
        <f>SUM(B23:B23)</f>
        <v>0</v>
      </c>
      <c r="D23" s="378"/>
      <c r="E23" s="379">
        <f>SUM(C23:D23)</f>
        <v>0</v>
      </c>
      <c r="F23" s="379">
        <v>460</v>
      </c>
      <c r="G23" s="379">
        <f>SUM(E23:F23)</f>
        <v>460</v>
      </c>
      <c r="H23" s="379"/>
      <c r="I23" s="379">
        <f>SUM(G23:H23)</f>
        <v>460</v>
      </c>
      <c r="J23" s="379"/>
      <c r="K23" s="379">
        <f>SUM(I23:J23)</f>
        <v>460</v>
      </c>
      <c r="L23" s="379"/>
      <c r="M23" s="379">
        <f>SUM(K23:L23)</f>
        <v>460</v>
      </c>
      <c r="N23" s="379"/>
      <c r="O23" s="379">
        <f>SUM(M23:N23)</f>
        <v>460</v>
      </c>
      <c r="P23" s="379"/>
      <c r="Q23" s="379"/>
      <c r="R23" s="379">
        <f>SUM(P23:Q23)</f>
        <v>0</v>
      </c>
      <c r="S23" s="379"/>
      <c r="T23" s="379">
        <f t="shared" si="16"/>
        <v>0</v>
      </c>
      <c r="U23" s="379">
        <v>519</v>
      </c>
      <c r="V23" s="379">
        <f t="shared" si="35"/>
        <v>519</v>
      </c>
      <c r="W23" s="379"/>
      <c r="X23" s="13">
        <f t="shared" si="8"/>
        <v>519</v>
      </c>
      <c r="Y23" s="13"/>
      <c r="Z23" s="13">
        <f t="shared" si="17"/>
        <v>519</v>
      </c>
      <c r="AA23" s="13"/>
      <c r="AB23" s="13">
        <f t="shared" si="18"/>
        <v>519</v>
      </c>
      <c r="AC23" s="13"/>
      <c r="AD23" s="13">
        <f t="shared" si="19"/>
        <v>519</v>
      </c>
      <c r="AE23" s="13"/>
      <c r="AF23" s="13">
        <f t="shared" si="20"/>
        <v>519</v>
      </c>
      <c r="AG23" s="13"/>
      <c r="AH23" s="13">
        <f t="shared" si="21"/>
        <v>519</v>
      </c>
      <c r="AI23" s="13"/>
      <c r="AJ23" s="13"/>
      <c r="AK23" s="13">
        <f t="shared" si="22"/>
        <v>0</v>
      </c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</row>
    <row r="24" spans="1:60">
      <c r="A24" s="12" t="s">
        <v>26</v>
      </c>
      <c r="B24" s="19">
        <f t="shared" ref="B24:K24" si="36">B25</f>
        <v>3602</v>
      </c>
      <c r="C24" s="19">
        <f t="shared" si="36"/>
        <v>3602</v>
      </c>
      <c r="D24" s="19">
        <f t="shared" si="36"/>
        <v>0</v>
      </c>
      <c r="E24" s="19">
        <f t="shared" si="36"/>
        <v>3602</v>
      </c>
      <c r="F24" s="19">
        <f t="shared" si="36"/>
        <v>1577</v>
      </c>
      <c r="G24" s="19">
        <f t="shared" si="36"/>
        <v>5179</v>
      </c>
      <c r="H24" s="19">
        <f t="shared" si="36"/>
        <v>790</v>
      </c>
      <c r="I24" s="19">
        <f t="shared" si="36"/>
        <v>5969</v>
      </c>
      <c r="J24" s="19">
        <f t="shared" si="36"/>
        <v>1562</v>
      </c>
      <c r="K24" s="19">
        <f t="shared" si="36"/>
        <v>7531</v>
      </c>
      <c r="L24" s="19">
        <f>L25+L26</f>
        <v>2768</v>
      </c>
      <c r="M24" s="19">
        <f>M25+M26</f>
        <v>10299</v>
      </c>
      <c r="N24" s="19">
        <f>N25+N26</f>
        <v>760</v>
      </c>
      <c r="O24" s="19">
        <f>O25+O26+O27</f>
        <v>26479</v>
      </c>
      <c r="P24" s="19">
        <f>P25+P26+P27</f>
        <v>0</v>
      </c>
      <c r="Q24" s="19">
        <f t="shared" ref="Q24" si="37">Q25+Q26+Q27</f>
        <v>1325</v>
      </c>
      <c r="R24" s="19">
        <f>R25</f>
        <v>1325</v>
      </c>
      <c r="S24" s="19">
        <f t="shared" ref="S24:U24" si="38">S25</f>
        <v>518</v>
      </c>
      <c r="T24" s="19">
        <f t="shared" si="38"/>
        <v>1843</v>
      </c>
      <c r="U24" s="19">
        <f t="shared" si="38"/>
        <v>-1843</v>
      </c>
      <c r="V24" s="19">
        <f>V25+V34</f>
        <v>0</v>
      </c>
      <c r="W24" s="19">
        <f>W25+W34+W35+W36</f>
        <v>126099</v>
      </c>
      <c r="X24" s="19">
        <f>X25+X34+X35+X36</f>
        <v>126099</v>
      </c>
      <c r="Y24" s="19">
        <f t="shared" ref="Y24:Z24" si="39">Y25+Y34+Y35+Y36</f>
        <v>0</v>
      </c>
      <c r="Z24" s="19">
        <f t="shared" si="39"/>
        <v>126099</v>
      </c>
      <c r="AA24" s="19">
        <f>AA25+AA34+AA35+AA36+AA37</f>
        <v>500</v>
      </c>
      <c r="AB24" s="19">
        <f>AB25+AB34+AB35+AB36+AB37</f>
        <v>126599</v>
      </c>
      <c r="AC24" s="19">
        <f t="shared" ref="AC24:AF24" si="40">AC25+AC34+AC35+AC36+AC37</f>
        <v>0</v>
      </c>
      <c r="AD24" s="19">
        <f t="shared" si="40"/>
        <v>126599</v>
      </c>
      <c r="AE24" s="19">
        <f t="shared" si="40"/>
        <v>0</v>
      </c>
      <c r="AF24" s="19">
        <f t="shared" si="40"/>
        <v>126599</v>
      </c>
      <c r="AG24" s="19"/>
      <c r="AH24" s="13">
        <f t="shared" si="21"/>
        <v>126599</v>
      </c>
      <c r="AI24" s="19">
        <f>SUM(AI25:AI37)</f>
        <v>0</v>
      </c>
      <c r="AJ24" s="19"/>
      <c r="AK24" s="13">
        <f t="shared" si="22"/>
        <v>0</v>
      </c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</row>
    <row r="25" spans="1:60" ht="18" hidden="1" customHeight="1">
      <c r="A25" s="12" t="s">
        <v>806</v>
      </c>
      <c r="B25" s="13">
        <v>3602</v>
      </c>
      <c r="C25" s="379">
        <f>SUM(B25:B25)</f>
        <v>3602</v>
      </c>
      <c r="D25" s="379"/>
      <c r="E25" s="379">
        <f>SUM(C25:D25)</f>
        <v>3602</v>
      </c>
      <c r="F25" s="379">
        <f>487+1090</f>
        <v>1577</v>
      </c>
      <c r="G25" s="379">
        <f>SUM(E25:F25)</f>
        <v>5179</v>
      </c>
      <c r="H25" s="379">
        <v>790</v>
      </c>
      <c r="I25" s="379">
        <f>SUM(G25:H25)</f>
        <v>5969</v>
      </c>
      <c r="J25" s="379">
        <f>781+781</f>
        <v>1562</v>
      </c>
      <c r="K25" s="379">
        <f>SUM(I25:J25)</f>
        <v>7531</v>
      </c>
      <c r="L25" s="379">
        <v>768</v>
      </c>
      <c r="M25" s="379">
        <f>SUM(K25:L25)</f>
        <v>8299</v>
      </c>
      <c r="N25" s="379">
        <v>760</v>
      </c>
      <c r="O25" s="379">
        <v>9815</v>
      </c>
      <c r="P25" s="379"/>
      <c r="Q25" s="379">
        <f>750+575</f>
        <v>1325</v>
      </c>
      <c r="R25" s="379">
        <f t="shared" ref="R25:R32" si="41">SUM(P25:Q25)</f>
        <v>1325</v>
      </c>
      <c r="S25" s="379">
        <v>518</v>
      </c>
      <c r="T25" s="379">
        <f t="shared" si="16"/>
        <v>1843</v>
      </c>
      <c r="U25" s="379">
        <v>-1843</v>
      </c>
      <c r="V25" s="379">
        <f t="shared" si="35"/>
        <v>0</v>
      </c>
      <c r="W25" s="379"/>
      <c r="X25" s="13">
        <f t="shared" si="8"/>
        <v>0</v>
      </c>
      <c r="Y25" s="13"/>
      <c r="Z25" s="13">
        <f t="shared" si="17"/>
        <v>0</v>
      </c>
      <c r="AA25" s="13"/>
      <c r="AB25" s="13">
        <f t="shared" si="18"/>
        <v>0</v>
      </c>
      <c r="AC25" s="13"/>
      <c r="AD25" s="13">
        <f t="shared" si="19"/>
        <v>0</v>
      </c>
      <c r="AE25" s="13"/>
      <c r="AF25" s="13">
        <f t="shared" si="20"/>
        <v>0</v>
      </c>
      <c r="AG25" s="13"/>
      <c r="AH25" s="13">
        <f t="shared" si="21"/>
        <v>0</v>
      </c>
      <c r="AI25" s="13"/>
      <c r="AJ25" s="13"/>
      <c r="AK25" s="13">
        <f t="shared" si="22"/>
        <v>0</v>
      </c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</row>
    <row r="26" spans="1:60" hidden="1">
      <c r="A26" s="12" t="s">
        <v>434</v>
      </c>
      <c r="B26" s="13"/>
      <c r="C26" s="379"/>
      <c r="D26" s="379"/>
      <c r="E26" s="379"/>
      <c r="F26" s="379"/>
      <c r="G26" s="379"/>
      <c r="H26" s="379"/>
      <c r="I26" s="379"/>
      <c r="J26" s="379"/>
      <c r="K26" s="379"/>
      <c r="L26" s="379">
        <v>2000</v>
      </c>
      <c r="M26" s="379">
        <f>SUM(K26:L26)</f>
        <v>2000</v>
      </c>
      <c r="N26" s="379"/>
      <c r="O26" s="379">
        <f>SUM(M26:N26)</f>
        <v>2000</v>
      </c>
      <c r="P26" s="379"/>
      <c r="Q26" s="379"/>
      <c r="R26" s="379">
        <f t="shared" si="41"/>
        <v>0</v>
      </c>
      <c r="S26" s="379"/>
      <c r="T26" s="379">
        <f t="shared" si="16"/>
        <v>0</v>
      </c>
      <c r="U26" s="379"/>
      <c r="V26" s="379">
        <f t="shared" si="35"/>
        <v>0</v>
      </c>
      <c r="W26" s="379"/>
      <c r="X26" s="13">
        <f t="shared" si="8"/>
        <v>0</v>
      </c>
      <c r="Y26" s="13"/>
      <c r="Z26" s="13">
        <f t="shared" si="17"/>
        <v>0</v>
      </c>
      <c r="AA26" s="13"/>
      <c r="AB26" s="13">
        <f t="shared" si="18"/>
        <v>0</v>
      </c>
      <c r="AC26" s="13"/>
      <c r="AD26" s="13">
        <f t="shared" si="19"/>
        <v>0</v>
      </c>
      <c r="AE26" s="13"/>
      <c r="AF26" s="13">
        <f t="shared" si="20"/>
        <v>0</v>
      </c>
      <c r="AG26" s="13"/>
      <c r="AH26" s="13">
        <f t="shared" si="21"/>
        <v>0</v>
      </c>
      <c r="AI26" s="13"/>
      <c r="AJ26" s="13"/>
      <c r="AK26" s="13">
        <f t="shared" si="22"/>
        <v>0</v>
      </c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</row>
    <row r="27" spans="1:60" hidden="1">
      <c r="A27" s="12" t="s">
        <v>460</v>
      </c>
      <c r="B27" s="13"/>
      <c r="C27" s="379"/>
      <c r="D27" s="379"/>
      <c r="E27" s="379"/>
      <c r="F27" s="379"/>
      <c r="G27" s="379"/>
      <c r="H27" s="379"/>
      <c r="I27" s="379"/>
      <c r="J27" s="379"/>
      <c r="K27" s="379"/>
      <c r="L27" s="379"/>
      <c r="M27" s="379"/>
      <c r="N27" s="379"/>
      <c r="O27" s="379">
        <v>14664</v>
      </c>
      <c r="P27" s="379"/>
      <c r="Q27" s="379"/>
      <c r="R27" s="379">
        <f t="shared" si="41"/>
        <v>0</v>
      </c>
      <c r="S27" s="379"/>
      <c r="T27" s="379">
        <f t="shared" si="16"/>
        <v>0</v>
      </c>
      <c r="U27" s="379"/>
      <c r="V27" s="379">
        <f t="shared" si="35"/>
        <v>0</v>
      </c>
      <c r="W27" s="379"/>
      <c r="X27" s="13">
        <f t="shared" si="8"/>
        <v>0</v>
      </c>
      <c r="Y27" s="13"/>
      <c r="Z27" s="13">
        <f t="shared" si="17"/>
        <v>0</v>
      </c>
      <c r="AA27" s="13"/>
      <c r="AB27" s="13">
        <f t="shared" si="18"/>
        <v>0</v>
      </c>
      <c r="AC27" s="13"/>
      <c r="AD27" s="13">
        <f t="shared" si="19"/>
        <v>0</v>
      </c>
      <c r="AE27" s="13"/>
      <c r="AF27" s="13">
        <f t="shared" si="20"/>
        <v>0</v>
      </c>
      <c r="AG27" s="13"/>
      <c r="AH27" s="13">
        <f t="shared" si="21"/>
        <v>0</v>
      </c>
      <c r="AI27" s="13"/>
      <c r="AJ27" s="13"/>
      <c r="AK27" s="13">
        <f t="shared" si="22"/>
        <v>0</v>
      </c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</row>
    <row r="28" spans="1:60" hidden="1">
      <c r="A28" s="12" t="s">
        <v>27</v>
      </c>
      <c r="B28" s="13">
        <f t="shared" ref="B28:I28" si="42">B29</f>
        <v>0</v>
      </c>
      <c r="C28" s="13">
        <f t="shared" si="42"/>
        <v>0</v>
      </c>
      <c r="D28" s="13">
        <f t="shared" si="42"/>
        <v>0</v>
      </c>
      <c r="E28" s="13">
        <f t="shared" si="42"/>
        <v>0</v>
      </c>
      <c r="F28" s="13">
        <f t="shared" si="42"/>
        <v>0</v>
      </c>
      <c r="G28" s="13">
        <f t="shared" si="42"/>
        <v>0</v>
      </c>
      <c r="H28" s="13">
        <f t="shared" si="42"/>
        <v>4781</v>
      </c>
      <c r="I28" s="13">
        <f t="shared" si="42"/>
        <v>4781</v>
      </c>
      <c r="J28" s="13">
        <f t="shared" ref="J28:O28" si="43">J29+J30</f>
        <v>1077</v>
      </c>
      <c r="K28" s="13">
        <f t="shared" si="43"/>
        <v>5858</v>
      </c>
      <c r="L28" s="13">
        <f t="shared" si="43"/>
        <v>0</v>
      </c>
      <c r="M28" s="13">
        <f t="shared" si="43"/>
        <v>5858</v>
      </c>
      <c r="N28" s="13">
        <f t="shared" si="43"/>
        <v>0</v>
      </c>
      <c r="O28" s="13">
        <f t="shared" si="43"/>
        <v>5858</v>
      </c>
      <c r="P28" s="13"/>
      <c r="Q28" s="13"/>
      <c r="R28" s="379">
        <f t="shared" si="41"/>
        <v>0</v>
      </c>
      <c r="S28" s="379"/>
      <c r="T28" s="379">
        <f t="shared" si="16"/>
        <v>0</v>
      </c>
      <c r="U28" s="379"/>
      <c r="V28" s="379">
        <f t="shared" si="35"/>
        <v>0</v>
      </c>
      <c r="W28" s="379"/>
      <c r="X28" s="13">
        <f t="shared" si="8"/>
        <v>0</v>
      </c>
      <c r="Y28" s="13"/>
      <c r="Z28" s="13">
        <f t="shared" si="17"/>
        <v>0</v>
      </c>
      <c r="AA28" s="13"/>
      <c r="AB28" s="13">
        <f t="shared" si="18"/>
        <v>0</v>
      </c>
      <c r="AC28" s="13"/>
      <c r="AD28" s="13">
        <f t="shared" si="19"/>
        <v>0</v>
      </c>
      <c r="AE28" s="13"/>
      <c r="AF28" s="13">
        <f t="shared" si="20"/>
        <v>0</v>
      </c>
      <c r="AG28" s="13"/>
      <c r="AH28" s="13">
        <f t="shared" si="21"/>
        <v>0</v>
      </c>
      <c r="AI28" s="13"/>
      <c r="AJ28" s="13"/>
      <c r="AK28" s="13">
        <f t="shared" si="22"/>
        <v>0</v>
      </c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</row>
    <row r="29" spans="1:60" hidden="1">
      <c r="A29" s="12" t="s">
        <v>563</v>
      </c>
      <c r="B29" s="13"/>
      <c r="C29" s="378">
        <f>SUM(B29:B29)</f>
        <v>0</v>
      </c>
      <c r="D29" s="379"/>
      <c r="E29" s="379">
        <f>SUM(C29:D29)</f>
        <v>0</v>
      </c>
      <c r="F29" s="379"/>
      <c r="G29" s="379">
        <f>SUM(E29:F29)</f>
        <v>0</v>
      </c>
      <c r="H29" s="379">
        <v>4781</v>
      </c>
      <c r="I29" s="379">
        <f>SUM(G29:H29)</f>
        <v>4781</v>
      </c>
      <c r="J29" s="379"/>
      <c r="K29" s="379">
        <f>SUM(I29:J29)</f>
        <v>4781</v>
      </c>
      <c r="L29" s="379"/>
      <c r="M29" s="379">
        <f>SUM(K29:L29)</f>
        <v>4781</v>
      </c>
      <c r="N29" s="379"/>
      <c r="O29" s="379">
        <f>SUM(M29:N29)</f>
        <v>4781</v>
      </c>
      <c r="P29" s="379"/>
      <c r="Q29" s="379"/>
      <c r="R29" s="379">
        <f t="shared" si="41"/>
        <v>0</v>
      </c>
      <c r="S29" s="379"/>
      <c r="T29" s="379">
        <f t="shared" si="16"/>
        <v>0</v>
      </c>
      <c r="U29" s="379"/>
      <c r="V29" s="379">
        <f t="shared" si="35"/>
        <v>0</v>
      </c>
      <c r="W29" s="379"/>
      <c r="X29" s="13">
        <f t="shared" si="8"/>
        <v>0</v>
      </c>
      <c r="Y29" s="13"/>
      <c r="Z29" s="13">
        <f t="shared" si="17"/>
        <v>0</v>
      </c>
      <c r="AA29" s="13"/>
      <c r="AB29" s="13">
        <f t="shared" si="18"/>
        <v>0</v>
      </c>
      <c r="AC29" s="13"/>
      <c r="AD29" s="13">
        <f t="shared" si="19"/>
        <v>0</v>
      </c>
      <c r="AE29" s="13"/>
      <c r="AF29" s="13">
        <f t="shared" si="20"/>
        <v>0</v>
      </c>
      <c r="AG29" s="13"/>
      <c r="AH29" s="13">
        <f t="shared" si="21"/>
        <v>0</v>
      </c>
      <c r="AI29" s="13"/>
      <c r="AJ29" s="13"/>
      <c r="AK29" s="13">
        <f t="shared" si="22"/>
        <v>0</v>
      </c>
      <c r="AL29" s="12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</row>
    <row r="30" spans="1:60" hidden="1">
      <c r="A30" s="12" t="s">
        <v>428</v>
      </c>
      <c r="B30" s="13"/>
      <c r="C30" s="378"/>
      <c r="D30" s="379"/>
      <c r="E30" s="379"/>
      <c r="F30" s="379"/>
      <c r="G30" s="379"/>
      <c r="H30" s="379"/>
      <c r="I30" s="379"/>
      <c r="J30" s="379">
        <v>1077</v>
      </c>
      <c r="K30" s="379">
        <f>SUM(I30:J30)</f>
        <v>1077</v>
      </c>
      <c r="L30" s="379"/>
      <c r="M30" s="379">
        <f>SUM(K30:L30)</f>
        <v>1077</v>
      </c>
      <c r="N30" s="379"/>
      <c r="O30" s="379">
        <f>SUM(M30:N30)</f>
        <v>1077</v>
      </c>
      <c r="P30" s="379"/>
      <c r="Q30" s="379"/>
      <c r="R30" s="379">
        <f t="shared" si="41"/>
        <v>0</v>
      </c>
      <c r="S30" s="379"/>
      <c r="T30" s="379">
        <f t="shared" si="16"/>
        <v>0</v>
      </c>
      <c r="U30" s="379"/>
      <c r="V30" s="379">
        <f t="shared" si="35"/>
        <v>0</v>
      </c>
      <c r="W30" s="379"/>
      <c r="X30" s="13">
        <f t="shared" si="8"/>
        <v>0</v>
      </c>
      <c r="Y30" s="13"/>
      <c r="Z30" s="13">
        <f t="shared" si="17"/>
        <v>0</v>
      </c>
      <c r="AA30" s="13"/>
      <c r="AB30" s="13">
        <f t="shared" si="18"/>
        <v>0</v>
      </c>
      <c r="AC30" s="13"/>
      <c r="AD30" s="13">
        <f t="shared" si="19"/>
        <v>0</v>
      </c>
      <c r="AE30" s="13"/>
      <c r="AF30" s="13">
        <f t="shared" si="20"/>
        <v>0</v>
      </c>
      <c r="AG30" s="13"/>
      <c r="AH30" s="13">
        <f t="shared" si="21"/>
        <v>0</v>
      </c>
      <c r="AI30" s="13"/>
      <c r="AJ30" s="13"/>
      <c r="AK30" s="13">
        <f t="shared" si="22"/>
        <v>0</v>
      </c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</row>
    <row r="31" spans="1:60" hidden="1">
      <c r="A31" s="12" t="s">
        <v>28</v>
      </c>
      <c r="B31" s="13"/>
      <c r="C31" s="378">
        <f>SUM(B31:B31)</f>
        <v>0</v>
      </c>
      <c r="D31" s="379"/>
      <c r="E31" s="379">
        <f>SUM(C31:D31)</f>
        <v>0</v>
      </c>
      <c r="F31" s="379"/>
      <c r="G31" s="379">
        <f>SUM(E31:F31)</f>
        <v>0</v>
      </c>
      <c r="H31" s="379"/>
      <c r="I31" s="379">
        <f>SUM(G31:H31)</f>
        <v>0</v>
      </c>
      <c r="J31" s="379"/>
      <c r="K31" s="379">
        <f>SUM(I31:J31)</f>
        <v>0</v>
      </c>
      <c r="L31" s="379"/>
      <c r="M31" s="379">
        <f>SUM(K31:L31)</f>
        <v>0</v>
      </c>
      <c r="N31" s="379"/>
      <c r="O31" s="379">
        <f>SUM(M31:N31)</f>
        <v>0</v>
      </c>
      <c r="P31" s="379"/>
      <c r="Q31" s="379"/>
      <c r="R31" s="379">
        <f t="shared" si="41"/>
        <v>0</v>
      </c>
      <c r="S31" s="379"/>
      <c r="T31" s="379">
        <f t="shared" si="16"/>
        <v>0</v>
      </c>
      <c r="U31" s="379"/>
      <c r="V31" s="379">
        <f t="shared" si="35"/>
        <v>0</v>
      </c>
      <c r="W31" s="379"/>
      <c r="X31" s="13">
        <f t="shared" si="8"/>
        <v>0</v>
      </c>
      <c r="Y31" s="13"/>
      <c r="Z31" s="13">
        <f t="shared" si="17"/>
        <v>0</v>
      </c>
      <c r="AA31" s="13"/>
      <c r="AB31" s="13">
        <f t="shared" si="18"/>
        <v>0</v>
      </c>
      <c r="AC31" s="13"/>
      <c r="AD31" s="13">
        <f t="shared" si="19"/>
        <v>0</v>
      </c>
      <c r="AE31" s="13"/>
      <c r="AF31" s="13">
        <f t="shared" si="20"/>
        <v>0</v>
      </c>
      <c r="AG31" s="13"/>
      <c r="AH31" s="13">
        <f t="shared" si="21"/>
        <v>0</v>
      </c>
      <c r="AI31" s="13"/>
      <c r="AJ31" s="13"/>
      <c r="AK31" s="13">
        <f t="shared" si="22"/>
        <v>0</v>
      </c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</row>
    <row r="32" spans="1:60" hidden="1">
      <c r="A32" s="12" t="s">
        <v>29</v>
      </c>
      <c r="B32" s="13"/>
      <c r="C32" s="378">
        <f>SUM(B32:B32)</f>
        <v>0</v>
      </c>
      <c r="D32" s="378"/>
      <c r="E32" s="379">
        <f>SUM(C32:D32)</f>
        <v>0</v>
      </c>
      <c r="F32" s="379"/>
      <c r="G32" s="379">
        <f>SUM(E32:F32)</f>
        <v>0</v>
      </c>
      <c r="H32" s="379"/>
      <c r="I32" s="379">
        <f>SUM(G32:H32)</f>
        <v>0</v>
      </c>
      <c r="J32" s="379"/>
      <c r="K32" s="379">
        <f>SUM(I32:J32)</f>
        <v>0</v>
      </c>
      <c r="L32" s="379"/>
      <c r="M32" s="379">
        <f>SUM(K32:L32)</f>
        <v>0</v>
      </c>
      <c r="N32" s="379"/>
      <c r="O32" s="379">
        <f>SUM(M32:N32)</f>
        <v>0</v>
      </c>
      <c r="P32" s="379"/>
      <c r="Q32" s="379"/>
      <c r="R32" s="379">
        <f t="shared" si="41"/>
        <v>0</v>
      </c>
      <c r="S32" s="379"/>
      <c r="T32" s="379">
        <f t="shared" si="16"/>
        <v>0</v>
      </c>
      <c r="U32" s="379"/>
      <c r="V32" s="379">
        <f t="shared" si="35"/>
        <v>0</v>
      </c>
      <c r="W32" s="379"/>
      <c r="X32" s="13">
        <f t="shared" si="8"/>
        <v>0</v>
      </c>
      <c r="Y32" s="13"/>
      <c r="Z32" s="13">
        <f t="shared" si="17"/>
        <v>0</v>
      </c>
      <c r="AA32" s="13"/>
      <c r="AB32" s="13">
        <f t="shared" si="18"/>
        <v>0</v>
      </c>
      <c r="AC32" s="13"/>
      <c r="AD32" s="13">
        <f t="shared" si="19"/>
        <v>0</v>
      </c>
      <c r="AE32" s="13"/>
      <c r="AF32" s="13">
        <f t="shared" si="20"/>
        <v>0</v>
      </c>
      <c r="AG32" s="13"/>
      <c r="AH32" s="13">
        <f t="shared" si="21"/>
        <v>0</v>
      </c>
      <c r="AI32" s="13"/>
      <c r="AJ32" s="13"/>
      <c r="AK32" s="13">
        <f t="shared" si="22"/>
        <v>0</v>
      </c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</row>
    <row r="33" spans="1:60" ht="15" hidden="1" customHeight="1">
      <c r="A33" s="12" t="s">
        <v>580</v>
      </c>
      <c r="B33" s="13" t="e">
        <f>B40+#REF!+B50</f>
        <v>#REF!</v>
      </c>
      <c r="C33" s="13" t="e">
        <f>C40+#REF!+C50</f>
        <v>#REF!</v>
      </c>
      <c r="D33" s="13" t="e">
        <f>D40+#REF!+D50</f>
        <v>#REF!</v>
      </c>
      <c r="E33" s="13" t="e">
        <f>E40+#REF!+E50</f>
        <v>#REF!</v>
      </c>
      <c r="F33" s="13" t="e">
        <f>F40+#REF!+F50</f>
        <v>#REF!</v>
      </c>
      <c r="G33" s="13" t="e">
        <f>G40+#REF!+G50</f>
        <v>#REF!</v>
      </c>
      <c r="H33" s="13" t="e">
        <f>H40+#REF!+H50</f>
        <v>#REF!</v>
      </c>
      <c r="I33" s="13" t="e">
        <f>I40+#REF!+I50</f>
        <v>#REF!</v>
      </c>
      <c r="J33" s="13" t="e">
        <f>J40+#REF!+J50+#REF!</f>
        <v>#REF!</v>
      </c>
      <c r="K33" s="13" t="e">
        <f>K40+#REF!+K50+#REF!</f>
        <v>#REF!</v>
      </c>
      <c r="L33" s="13" t="e">
        <f>L40+#REF!+L50+#REF!</f>
        <v>#REF!</v>
      </c>
      <c r="M33" s="13" t="e">
        <f>M40+#REF!+M50+#REF!</f>
        <v>#REF!</v>
      </c>
      <c r="N33" s="13" t="e">
        <f>N40+#REF!+N50+#REF!</f>
        <v>#REF!</v>
      </c>
      <c r="O33" s="13" t="e">
        <f>O40+#REF!+O50+#REF!</f>
        <v>#REF!</v>
      </c>
      <c r="P33" s="13">
        <f>P40+P50</f>
        <v>311644</v>
      </c>
      <c r="Q33" s="13">
        <f>Q40+Q50</f>
        <v>0</v>
      </c>
      <c r="R33" s="13">
        <f>R40+R50</f>
        <v>311144</v>
      </c>
      <c r="S33" s="13"/>
      <c r="T33" s="379">
        <f t="shared" si="16"/>
        <v>311144</v>
      </c>
      <c r="U33" s="379"/>
      <c r="V33" s="379">
        <f t="shared" si="35"/>
        <v>311144</v>
      </c>
      <c r="W33" s="379"/>
      <c r="X33" s="13">
        <f t="shared" si="8"/>
        <v>311144</v>
      </c>
      <c r="Y33" s="13"/>
      <c r="Z33" s="13">
        <f t="shared" si="17"/>
        <v>311144</v>
      </c>
      <c r="AA33" s="13"/>
      <c r="AB33" s="13">
        <f t="shared" si="18"/>
        <v>311144</v>
      </c>
      <c r="AC33" s="13"/>
      <c r="AD33" s="13">
        <f t="shared" si="19"/>
        <v>311144</v>
      </c>
      <c r="AE33" s="13"/>
      <c r="AF33" s="13">
        <f t="shared" si="20"/>
        <v>311144</v>
      </c>
      <c r="AG33" s="13"/>
      <c r="AH33" s="13">
        <f t="shared" si="21"/>
        <v>311144</v>
      </c>
      <c r="AI33" s="13"/>
      <c r="AJ33" s="13"/>
      <c r="AK33" s="13">
        <f t="shared" si="22"/>
        <v>0</v>
      </c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</row>
    <row r="34" spans="1:60" ht="15" hidden="1" customHeight="1">
      <c r="A34" s="12" t="s">
        <v>580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379"/>
      <c r="U34" s="379"/>
      <c r="V34" s="379"/>
      <c r="W34" s="379">
        <v>4600</v>
      </c>
      <c r="X34" s="13">
        <f t="shared" si="8"/>
        <v>4600</v>
      </c>
      <c r="Y34" s="13"/>
      <c r="Z34" s="13">
        <f t="shared" si="17"/>
        <v>4600</v>
      </c>
      <c r="AA34" s="13"/>
      <c r="AB34" s="13">
        <f t="shared" si="18"/>
        <v>4600</v>
      </c>
      <c r="AC34" s="13"/>
      <c r="AD34" s="13">
        <f t="shared" si="19"/>
        <v>4600</v>
      </c>
      <c r="AE34" s="13"/>
      <c r="AF34" s="13">
        <f t="shared" si="20"/>
        <v>4600</v>
      </c>
      <c r="AG34" s="13"/>
      <c r="AH34" s="13">
        <f t="shared" si="21"/>
        <v>4600</v>
      </c>
      <c r="AI34" s="13"/>
      <c r="AJ34" s="13"/>
      <c r="AK34" s="13">
        <f t="shared" si="22"/>
        <v>0</v>
      </c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</row>
    <row r="35" spans="1:60" ht="15" hidden="1" customHeight="1">
      <c r="A35" s="12" t="s">
        <v>581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379"/>
      <c r="U35" s="379"/>
      <c r="V35" s="379"/>
      <c r="W35" s="379">
        <v>5033</v>
      </c>
      <c r="X35" s="13">
        <f t="shared" si="8"/>
        <v>5033</v>
      </c>
      <c r="Y35" s="13"/>
      <c r="Z35" s="13">
        <f t="shared" si="17"/>
        <v>5033</v>
      </c>
      <c r="AA35" s="13"/>
      <c r="AB35" s="13">
        <f t="shared" si="18"/>
        <v>5033</v>
      </c>
      <c r="AC35" s="13"/>
      <c r="AD35" s="13">
        <f t="shared" si="19"/>
        <v>5033</v>
      </c>
      <c r="AE35" s="13"/>
      <c r="AF35" s="13">
        <f t="shared" si="20"/>
        <v>5033</v>
      </c>
      <c r="AG35" s="13"/>
      <c r="AH35" s="13">
        <f t="shared" si="21"/>
        <v>5033</v>
      </c>
      <c r="AI35" s="13"/>
      <c r="AJ35" s="13"/>
      <c r="AK35" s="13">
        <f t="shared" si="22"/>
        <v>0</v>
      </c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</row>
    <row r="36" spans="1:60" ht="15" hidden="1" customHeight="1">
      <c r="A36" s="12" t="s">
        <v>582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379"/>
      <c r="U36" s="379"/>
      <c r="V36" s="379"/>
      <c r="W36" s="379">
        <v>116466</v>
      </c>
      <c r="X36" s="13">
        <f t="shared" si="8"/>
        <v>116466</v>
      </c>
      <c r="Y36" s="13"/>
      <c r="Z36" s="13">
        <f t="shared" si="17"/>
        <v>116466</v>
      </c>
      <c r="AA36" s="13"/>
      <c r="AB36" s="13">
        <f t="shared" si="18"/>
        <v>116466</v>
      </c>
      <c r="AC36" s="13"/>
      <c r="AD36" s="13">
        <f t="shared" si="19"/>
        <v>116466</v>
      </c>
      <c r="AE36" s="13"/>
      <c r="AF36" s="13">
        <f t="shared" si="20"/>
        <v>116466</v>
      </c>
      <c r="AG36" s="13"/>
      <c r="AH36" s="13">
        <f t="shared" si="21"/>
        <v>116466</v>
      </c>
      <c r="AI36" s="13"/>
      <c r="AJ36" s="13"/>
      <c r="AK36" s="13">
        <f t="shared" si="22"/>
        <v>0</v>
      </c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</row>
    <row r="37" spans="1:60" ht="15" hidden="1" customHeight="1">
      <c r="A37" s="12" t="s">
        <v>669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379"/>
      <c r="U37" s="379"/>
      <c r="V37" s="379"/>
      <c r="W37" s="379"/>
      <c r="X37" s="13"/>
      <c r="Y37" s="13"/>
      <c r="Z37" s="13"/>
      <c r="AA37" s="13">
        <v>500</v>
      </c>
      <c r="AB37" s="13">
        <f t="shared" si="18"/>
        <v>500</v>
      </c>
      <c r="AC37" s="13"/>
      <c r="AD37" s="13">
        <f t="shared" si="19"/>
        <v>500</v>
      </c>
      <c r="AE37" s="13"/>
      <c r="AF37" s="13">
        <f t="shared" si="20"/>
        <v>500</v>
      </c>
      <c r="AG37" s="13"/>
      <c r="AH37" s="13">
        <f t="shared" si="21"/>
        <v>500</v>
      </c>
      <c r="AI37" s="13"/>
      <c r="AJ37" s="13"/>
      <c r="AK37" s="13">
        <f t="shared" si="22"/>
        <v>0</v>
      </c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</row>
    <row r="38" spans="1:60" ht="15" customHeight="1">
      <c r="A38" s="417" t="s">
        <v>27</v>
      </c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379"/>
      <c r="U38" s="379"/>
      <c r="V38" s="379"/>
      <c r="W38" s="379"/>
      <c r="X38" s="13"/>
      <c r="Y38" s="13">
        <f>Y39</f>
        <v>7846</v>
      </c>
      <c r="Z38" s="13">
        <f>Z39</f>
        <v>7846</v>
      </c>
      <c r="AA38" s="13">
        <f t="shared" ref="AA38:AI38" si="44">AA39</f>
        <v>0</v>
      </c>
      <c r="AB38" s="13">
        <f t="shared" si="44"/>
        <v>7846</v>
      </c>
      <c r="AC38" s="13">
        <f t="shared" si="44"/>
        <v>0</v>
      </c>
      <c r="AD38" s="13">
        <f t="shared" si="44"/>
        <v>7846</v>
      </c>
      <c r="AE38" s="13">
        <f t="shared" si="44"/>
        <v>0</v>
      </c>
      <c r="AF38" s="13">
        <f t="shared" si="44"/>
        <v>7846</v>
      </c>
      <c r="AG38" s="13">
        <f t="shared" si="44"/>
        <v>0</v>
      </c>
      <c r="AH38" s="13">
        <f t="shared" si="44"/>
        <v>7846</v>
      </c>
      <c r="AI38" s="13">
        <f t="shared" si="44"/>
        <v>0</v>
      </c>
      <c r="AJ38" s="13"/>
      <c r="AK38" s="13">
        <f t="shared" si="22"/>
        <v>0</v>
      </c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</row>
    <row r="39" spans="1:60" ht="15" customHeight="1">
      <c r="A39" s="417" t="s">
        <v>428</v>
      </c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379"/>
      <c r="U39" s="379"/>
      <c r="V39" s="379"/>
      <c r="W39" s="379"/>
      <c r="X39" s="13"/>
      <c r="Y39" s="13">
        <v>7846</v>
      </c>
      <c r="Z39" s="13">
        <f>Y39</f>
        <v>7846</v>
      </c>
      <c r="AA39" s="13"/>
      <c r="AB39" s="13">
        <f t="shared" si="18"/>
        <v>7846</v>
      </c>
      <c r="AC39" s="13"/>
      <c r="AD39" s="13">
        <f t="shared" si="19"/>
        <v>7846</v>
      </c>
      <c r="AE39" s="13"/>
      <c r="AF39" s="13">
        <f t="shared" si="20"/>
        <v>7846</v>
      </c>
      <c r="AG39" s="13"/>
      <c r="AH39" s="13">
        <f t="shared" si="21"/>
        <v>7846</v>
      </c>
      <c r="AI39" s="13"/>
      <c r="AJ39" s="13"/>
      <c r="AK39" s="13">
        <f t="shared" si="22"/>
        <v>0</v>
      </c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</row>
    <row r="40" spans="1:60">
      <c r="A40" s="12" t="s">
        <v>961</v>
      </c>
      <c r="B40" s="13">
        <f t="shared" ref="B40:H40" si="45">SUM(B41:B45)</f>
        <v>0</v>
      </c>
      <c r="C40" s="13">
        <f t="shared" si="45"/>
        <v>0</v>
      </c>
      <c r="D40" s="13">
        <f t="shared" si="45"/>
        <v>0</v>
      </c>
      <c r="E40" s="13">
        <f t="shared" si="45"/>
        <v>0</v>
      </c>
      <c r="F40" s="13">
        <f t="shared" si="45"/>
        <v>0</v>
      </c>
      <c r="G40" s="13">
        <f t="shared" si="45"/>
        <v>0</v>
      </c>
      <c r="H40" s="13">
        <f t="shared" si="45"/>
        <v>-2452</v>
      </c>
      <c r="I40" s="13">
        <f t="shared" ref="I40:O40" si="46">SUM(I41:I46)</f>
        <v>-2452</v>
      </c>
      <c r="J40" s="13">
        <f t="shared" si="46"/>
        <v>87808</v>
      </c>
      <c r="K40" s="13">
        <f t="shared" si="46"/>
        <v>85356</v>
      </c>
      <c r="L40" s="13">
        <f t="shared" si="46"/>
        <v>0</v>
      </c>
      <c r="M40" s="13">
        <f t="shared" si="46"/>
        <v>85356</v>
      </c>
      <c r="N40" s="13">
        <f t="shared" si="46"/>
        <v>0</v>
      </c>
      <c r="O40" s="13">
        <f t="shared" si="46"/>
        <v>85356</v>
      </c>
      <c r="P40" s="13">
        <f>SUM(P41:P52)</f>
        <v>311144</v>
      </c>
      <c r="Q40" s="13">
        <f t="shared" ref="Q40:T40" si="47">SUM(Q41:Q46)</f>
        <v>0</v>
      </c>
      <c r="R40" s="13">
        <f t="shared" si="47"/>
        <v>310644</v>
      </c>
      <c r="S40" s="13">
        <f t="shared" si="47"/>
        <v>0</v>
      </c>
      <c r="T40" s="13">
        <f t="shared" si="47"/>
        <v>310644</v>
      </c>
      <c r="U40" s="13">
        <f>SUM(U41:U47)</f>
        <v>2000</v>
      </c>
      <c r="V40" s="13">
        <f>SUM(V41:V48)</f>
        <v>312644</v>
      </c>
      <c r="W40" s="13">
        <f>SUM(W41:W48)</f>
        <v>19972</v>
      </c>
      <c r="X40" s="13">
        <f>SUM(X41:X48)</f>
        <v>332616</v>
      </c>
      <c r="Y40" s="13">
        <f>SUM(Y41:Y49)</f>
        <v>918</v>
      </c>
      <c r="Z40" s="13">
        <f>SUM(Z41:Z49)</f>
        <v>333534</v>
      </c>
      <c r="AA40" s="13">
        <f t="shared" ref="AA40:AH40" si="48">SUM(AA41:AA49)</f>
        <v>1125</v>
      </c>
      <c r="AB40" s="13">
        <f>SUM(AB41:AB49)</f>
        <v>334659</v>
      </c>
      <c r="AC40" s="13">
        <f t="shared" si="48"/>
        <v>0</v>
      </c>
      <c r="AD40" s="13">
        <f t="shared" si="48"/>
        <v>334659</v>
      </c>
      <c r="AE40" s="13">
        <f t="shared" si="48"/>
        <v>0</v>
      </c>
      <c r="AF40" s="13">
        <f t="shared" si="48"/>
        <v>334659</v>
      </c>
      <c r="AG40" s="13">
        <f t="shared" si="48"/>
        <v>0</v>
      </c>
      <c r="AH40" s="13">
        <f t="shared" si="48"/>
        <v>334659</v>
      </c>
      <c r="AI40" s="13">
        <f>SUM(AI41:AI52)</f>
        <v>214541</v>
      </c>
      <c r="AJ40" s="13">
        <f>SUM(AJ41:AJ52)</f>
        <v>0</v>
      </c>
      <c r="AK40" s="13">
        <f>SUM(AK41:AK52)</f>
        <v>214541</v>
      </c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</row>
    <row r="41" spans="1:60">
      <c r="A41" s="380" t="s">
        <v>30</v>
      </c>
      <c r="B41" s="13"/>
      <c r="C41" s="379">
        <f>SUM(B41:B41)</f>
        <v>0</v>
      </c>
      <c r="D41" s="379"/>
      <c r="E41" s="379">
        <f>SUM(C41:D41)</f>
        <v>0</v>
      </c>
      <c r="F41" s="379"/>
      <c r="G41" s="379">
        <f>SUM(E41:F41)</f>
        <v>0</v>
      </c>
      <c r="H41" s="379"/>
      <c r="I41" s="379">
        <f>SUM(G41:H41)</f>
        <v>0</v>
      </c>
      <c r="J41" s="379"/>
      <c r="K41" s="379">
        <f t="shared" ref="K41:K50" si="49">SUM(I41:J41)</f>
        <v>0</v>
      </c>
      <c r="L41" s="379"/>
      <c r="M41" s="379">
        <f t="shared" ref="M41:M50" si="50">SUM(K41:L41)</f>
        <v>0</v>
      </c>
      <c r="N41" s="379"/>
      <c r="O41" s="379">
        <f t="shared" ref="O41:O50" si="51">SUM(M41:N41)</f>
        <v>0</v>
      </c>
      <c r="P41" s="379">
        <v>7000</v>
      </c>
      <c r="Q41" s="379"/>
      <c r="R41" s="379">
        <f t="shared" ref="R41:R50" si="52">SUM(P41:Q41)</f>
        <v>7000</v>
      </c>
      <c r="S41" s="379"/>
      <c r="T41" s="379">
        <f t="shared" si="16"/>
        <v>7000</v>
      </c>
      <c r="U41" s="379"/>
      <c r="V41" s="379">
        <f t="shared" si="35"/>
        <v>7000</v>
      </c>
      <c r="W41" s="379"/>
      <c r="X41" s="13">
        <f t="shared" si="8"/>
        <v>7000</v>
      </c>
      <c r="Y41" s="13"/>
      <c r="Z41" s="13">
        <f t="shared" si="17"/>
        <v>7000</v>
      </c>
      <c r="AA41" s="13"/>
      <c r="AB41" s="13">
        <f t="shared" si="18"/>
        <v>7000</v>
      </c>
      <c r="AC41" s="13"/>
      <c r="AD41" s="13">
        <f t="shared" si="19"/>
        <v>7000</v>
      </c>
      <c r="AE41" s="13"/>
      <c r="AF41" s="13">
        <f t="shared" si="20"/>
        <v>7000</v>
      </c>
      <c r="AG41" s="13"/>
      <c r="AH41" s="13">
        <f t="shared" si="21"/>
        <v>7000</v>
      </c>
      <c r="AI41" s="13">
        <v>0</v>
      </c>
      <c r="AJ41" s="13"/>
      <c r="AK41" s="13">
        <f t="shared" si="22"/>
        <v>0</v>
      </c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</row>
    <row r="42" spans="1:60" ht="30">
      <c r="A42" s="380" t="s">
        <v>31</v>
      </c>
      <c r="B42" s="13"/>
      <c r="C42" s="379">
        <f>SUM(B42:B42)</f>
        <v>0</v>
      </c>
      <c r="D42" s="379"/>
      <c r="E42" s="379">
        <f t="shared" ref="E42:E50" si="53">SUM(C42:D42)</f>
        <v>0</v>
      </c>
      <c r="F42" s="379"/>
      <c r="G42" s="379">
        <f>SUM(E42:F42)</f>
        <v>0</v>
      </c>
      <c r="H42" s="379"/>
      <c r="I42" s="379">
        <f>SUM(G42:H42)</f>
        <v>0</v>
      </c>
      <c r="J42" s="379"/>
      <c r="K42" s="379">
        <f t="shared" si="49"/>
        <v>0</v>
      </c>
      <c r="L42" s="379"/>
      <c r="M42" s="379">
        <f t="shared" si="50"/>
        <v>0</v>
      </c>
      <c r="N42" s="379"/>
      <c r="O42" s="379">
        <f t="shared" si="51"/>
        <v>0</v>
      </c>
      <c r="P42" s="379">
        <v>1000</v>
      </c>
      <c r="Q42" s="379"/>
      <c r="R42" s="379">
        <f t="shared" si="52"/>
        <v>1000</v>
      </c>
      <c r="S42" s="379"/>
      <c r="T42" s="379">
        <f t="shared" si="16"/>
        <v>1000</v>
      </c>
      <c r="U42" s="379"/>
      <c r="V42" s="379">
        <f t="shared" si="35"/>
        <v>1000</v>
      </c>
      <c r="W42" s="379"/>
      <c r="X42" s="13">
        <f t="shared" si="8"/>
        <v>1000</v>
      </c>
      <c r="Y42" s="13"/>
      <c r="Z42" s="13">
        <f t="shared" si="17"/>
        <v>1000</v>
      </c>
      <c r="AA42" s="13"/>
      <c r="AB42" s="13">
        <f t="shared" si="18"/>
        <v>1000</v>
      </c>
      <c r="AC42" s="13"/>
      <c r="AD42" s="13">
        <f t="shared" si="19"/>
        <v>1000</v>
      </c>
      <c r="AE42" s="13"/>
      <c r="AF42" s="13">
        <f t="shared" si="20"/>
        <v>1000</v>
      </c>
      <c r="AG42" s="13"/>
      <c r="AH42" s="13">
        <f t="shared" si="21"/>
        <v>1000</v>
      </c>
      <c r="AI42" s="13">
        <v>0</v>
      </c>
      <c r="AJ42" s="13"/>
      <c r="AK42" s="13">
        <f t="shared" si="22"/>
        <v>0</v>
      </c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</row>
    <row r="43" spans="1:60" ht="15" customHeight="1">
      <c r="A43" s="380" t="s">
        <v>32</v>
      </c>
      <c r="B43" s="13"/>
      <c r="C43" s="379">
        <f>SUM(B43:B43)</f>
        <v>0</v>
      </c>
      <c r="D43" s="379"/>
      <c r="E43" s="379">
        <f t="shared" si="53"/>
        <v>0</v>
      </c>
      <c r="F43" s="379"/>
      <c r="G43" s="379">
        <f>SUM(E43:F43)</f>
        <v>0</v>
      </c>
      <c r="H43" s="379">
        <v>-2452</v>
      </c>
      <c r="I43" s="379">
        <f>SUM(G43:H43)</f>
        <v>-2452</v>
      </c>
      <c r="J43" s="379"/>
      <c r="K43" s="379">
        <f t="shared" si="49"/>
        <v>-2452</v>
      </c>
      <c r="L43" s="379"/>
      <c r="M43" s="379">
        <f t="shared" si="50"/>
        <v>-2452</v>
      </c>
      <c r="N43" s="379"/>
      <c r="O43" s="379">
        <f t="shared" si="51"/>
        <v>-2452</v>
      </c>
      <c r="P43" s="379">
        <v>200936</v>
      </c>
      <c r="Q43" s="379"/>
      <c r="R43" s="379">
        <f t="shared" si="52"/>
        <v>200936</v>
      </c>
      <c r="S43" s="379"/>
      <c r="T43" s="379">
        <f t="shared" si="16"/>
        <v>200936</v>
      </c>
      <c r="U43" s="379"/>
      <c r="V43" s="379">
        <f t="shared" si="35"/>
        <v>200936</v>
      </c>
      <c r="W43" s="379"/>
      <c r="X43" s="13">
        <f t="shared" si="8"/>
        <v>200936</v>
      </c>
      <c r="Y43" s="13"/>
      <c r="Z43" s="13">
        <f t="shared" si="17"/>
        <v>200936</v>
      </c>
      <c r="AA43" s="13"/>
      <c r="AB43" s="13">
        <f t="shared" si="18"/>
        <v>200936</v>
      </c>
      <c r="AC43" s="13"/>
      <c r="AD43" s="13">
        <f t="shared" si="19"/>
        <v>200936</v>
      </c>
      <c r="AE43" s="13"/>
      <c r="AF43" s="13">
        <f t="shared" si="20"/>
        <v>200936</v>
      </c>
      <c r="AG43" s="13"/>
      <c r="AH43" s="13">
        <f t="shared" si="21"/>
        <v>200936</v>
      </c>
      <c r="AI43" s="13">
        <v>158412</v>
      </c>
      <c r="AJ43" s="13"/>
      <c r="AK43" s="13">
        <f t="shared" si="22"/>
        <v>158412</v>
      </c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</row>
    <row r="44" spans="1:60">
      <c r="A44" s="380" t="s">
        <v>33</v>
      </c>
      <c r="B44" s="13"/>
      <c r="C44" s="379">
        <f>SUM(B44:B44)</f>
        <v>0</v>
      </c>
      <c r="D44" s="379"/>
      <c r="E44" s="379">
        <f t="shared" si="53"/>
        <v>0</v>
      </c>
      <c r="F44" s="379"/>
      <c r="G44" s="379">
        <f>SUM(E44:F44)</f>
        <v>0</v>
      </c>
      <c r="H44" s="379"/>
      <c r="I44" s="379">
        <f>SUM(G44:H44)</f>
        <v>0</v>
      </c>
      <c r="J44" s="379"/>
      <c r="K44" s="379">
        <f t="shared" si="49"/>
        <v>0</v>
      </c>
      <c r="L44" s="379"/>
      <c r="M44" s="379">
        <f t="shared" si="50"/>
        <v>0</v>
      </c>
      <c r="N44" s="379"/>
      <c r="O44" s="379">
        <f t="shared" si="51"/>
        <v>0</v>
      </c>
      <c r="P44" s="379">
        <v>5400</v>
      </c>
      <c r="Q44" s="379"/>
      <c r="R44" s="379">
        <f t="shared" si="52"/>
        <v>5400</v>
      </c>
      <c r="S44" s="379"/>
      <c r="T44" s="379">
        <f t="shared" si="16"/>
        <v>5400</v>
      </c>
      <c r="U44" s="379"/>
      <c r="V44" s="379">
        <f t="shared" si="35"/>
        <v>5400</v>
      </c>
      <c r="W44" s="379"/>
      <c r="X44" s="13">
        <f t="shared" si="8"/>
        <v>5400</v>
      </c>
      <c r="Y44" s="13"/>
      <c r="Z44" s="13">
        <f t="shared" si="17"/>
        <v>5400</v>
      </c>
      <c r="AA44" s="13"/>
      <c r="AB44" s="13">
        <f t="shared" si="18"/>
        <v>5400</v>
      </c>
      <c r="AC44" s="13"/>
      <c r="AD44" s="13">
        <f t="shared" si="19"/>
        <v>5400</v>
      </c>
      <c r="AE44" s="13"/>
      <c r="AF44" s="13">
        <f t="shared" si="20"/>
        <v>5400</v>
      </c>
      <c r="AG44" s="13"/>
      <c r="AH44" s="13">
        <f t="shared" si="21"/>
        <v>5400</v>
      </c>
      <c r="AI44" s="13">
        <v>5400</v>
      </c>
      <c r="AJ44" s="13"/>
      <c r="AK44" s="13">
        <f t="shared" si="22"/>
        <v>5400</v>
      </c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</row>
    <row r="45" spans="1:60">
      <c r="A45" s="380" t="s">
        <v>34</v>
      </c>
      <c r="B45" s="13"/>
      <c r="C45" s="379">
        <f>SUM(B45:B45)</f>
        <v>0</v>
      </c>
      <c r="D45" s="379"/>
      <c r="E45" s="379">
        <f t="shared" si="53"/>
        <v>0</v>
      </c>
      <c r="F45" s="379"/>
      <c r="G45" s="379">
        <f>SUM(E45:F45)</f>
        <v>0</v>
      </c>
      <c r="H45" s="379"/>
      <c r="I45" s="379">
        <f>SUM(G45:H45)</f>
        <v>0</v>
      </c>
      <c r="J45" s="379"/>
      <c r="K45" s="379">
        <f t="shared" si="49"/>
        <v>0</v>
      </c>
      <c r="L45" s="379"/>
      <c r="M45" s="379">
        <f t="shared" si="50"/>
        <v>0</v>
      </c>
      <c r="N45" s="379"/>
      <c r="O45" s="379">
        <f t="shared" si="51"/>
        <v>0</v>
      </c>
      <c r="P45" s="379">
        <v>8500</v>
      </c>
      <c r="Q45" s="379"/>
      <c r="R45" s="379">
        <f t="shared" si="52"/>
        <v>8500</v>
      </c>
      <c r="S45" s="379"/>
      <c r="T45" s="379">
        <f t="shared" si="16"/>
        <v>8500</v>
      </c>
      <c r="U45" s="379"/>
      <c r="V45" s="379">
        <f t="shared" si="35"/>
        <v>8500</v>
      </c>
      <c r="W45" s="379"/>
      <c r="X45" s="13">
        <f t="shared" si="8"/>
        <v>8500</v>
      </c>
      <c r="Y45" s="13"/>
      <c r="Z45" s="13">
        <f t="shared" si="17"/>
        <v>8500</v>
      </c>
      <c r="AA45" s="13"/>
      <c r="AB45" s="13">
        <f t="shared" si="18"/>
        <v>8500</v>
      </c>
      <c r="AC45" s="13"/>
      <c r="AD45" s="13">
        <f t="shared" si="19"/>
        <v>8500</v>
      </c>
      <c r="AE45" s="13"/>
      <c r="AF45" s="13">
        <f t="shared" si="20"/>
        <v>8500</v>
      </c>
      <c r="AG45" s="13"/>
      <c r="AH45" s="13">
        <f t="shared" si="21"/>
        <v>8500</v>
      </c>
      <c r="AI45" s="13">
        <v>8343</v>
      </c>
      <c r="AJ45" s="13"/>
      <c r="AK45" s="13">
        <f t="shared" si="22"/>
        <v>8343</v>
      </c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</row>
    <row r="46" spans="1:60" ht="28.5" customHeight="1">
      <c r="A46" s="380" t="s">
        <v>550</v>
      </c>
      <c r="B46" s="13"/>
      <c r="C46" s="379"/>
      <c r="D46" s="379"/>
      <c r="E46" s="379"/>
      <c r="F46" s="379"/>
      <c r="G46" s="379"/>
      <c r="H46" s="379"/>
      <c r="I46" s="379"/>
      <c r="J46" s="379">
        <v>87808</v>
      </c>
      <c r="K46" s="379">
        <f t="shared" si="49"/>
        <v>87808</v>
      </c>
      <c r="L46" s="379"/>
      <c r="M46" s="379">
        <f t="shared" si="50"/>
        <v>87808</v>
      </c>
      <c r="N46" s="379"/>
      <c r="O46" s="379">
        <f t="shared" si="51"/>
        <v>87808</v>
      </c>
      <c r="P46" s="379">
        <v>87808</v>
      </c>
      <c r="Q46" s="379"/>
      <c r="R46" s="379">
        <f t="shared" si="52"/>
        <v>87808</v>
      </c>
      <c r="S46" s="379"/>
      <c r="T46" s="379">
        <f t="shared" si="16"/>
        <v>87808</v>
      </c>
      <c r="U46" s="379"/>
      <c r="V46" s="379">
        <f t="shared" si="35"/>
        <v>87808</v>
      </c>
      <c r="W46" s="379"/>
      <c r="X46" s="13">
        <f t="shared" si="8"/>
        <v>87808</v>
      </c>
      <c r="Y46" s="13"/>
      <c r="Z46" s="13">
        <f t="shared" si="17"/>
        <v>87808</v>
      </c>
      <c r="AA46" s="13"/>
      <c r="AB46" s="13">
        <f t="shared" si="18"/>
        <v>87808</v>
      </c>
      <c r="AC46" s="13"/>
      <c r="AD46" s="13">
        <f t="shared" si="19"/>
        <v>87808</v>
      </c>
      <c r="AE46" s="13"/>
      <c r="AF46" s="13">
        <f t="shared" si="20"/>
        <v>87808</v>
      </c>
      <c r="AG46" s="13"/>
      <c r="AH46" s="13">
        <f t="shared" si="21"/>
        <v>87808</v>
      </c>
      <c r="AI46" s="13">
        <v>28465</v>
      </c>
      <c r="AJ46" s="13"/>
      <c r="AK46" s="13">
        <f t="shared" si="22"/>
        <v>28465</v>
      </c>
      <c r="AL46" s="12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</row>
    <row r="47" spans="1:60">
      <c r="A47" s="380" t="s">
        <v>577</v>
      </c>
      <c r="B47" s="13"/>
      <c r="C47" s="379"/>
      <c r="D47" s="379"/>
      <c r="E47" s="379"/>
      <c r="F47" s="379"/>
      <c r="G47" s="379"/>
      <c r="H47" s="379"/>
      <c r="I47" s="379"/>
      <c r="J47" s="379"/>
      <c r="K47" s="379"/>
      <c r="L47" s="379"/>
      <c r="M47" s="379"/>
      <c r="N47" s="379"/>
      <c r="O47" s="379"/>
      <c r="P47" s="379"/>
      <c r="Q47" s="379"/>
      <c r="R47" s="379"/>
      <c r="S47" s="379"/>
      <c r="T47" s="379"/>
      <c r="U47" s="379">
        <v>2000</v>
      </c>
      <c r="V47" s="379">
        <f t="shared" si="35"/>
        <v>2000</v>
      </c>
      <c r="W47" s="379"/>
      <c r="X47" s="13">
        <f t="shared" si="8"/>
        <v>2000</v>
      </c>
      <c r="Y47" s="13"/>
      <c r="Z47" s="13">
        <f t="shared" si="17"/>
        <v>2000</v>
      </c>
      <c r="AA47" s="13"/>
      <c r="AB47" s="13">
        <f t="shared" si="18"/>
        <v>2000</v>
      </c>
      <c r="AC47" s="13"/>
      <c r="AD47" s="13">
        <f t="shared" si="19"/>
        <v>2000</v>
      </c>
      <c r="AE47" s="13"/>
      <c r="AF47" s="13">
        <f t="shared" si="20"/>
        <v>2000</v>
      </c>
      <c r="AG47" s="13"/>
      <c r="AH47" s="13">
        <f t="shared" si="21"/>
        <v>2000</v>
      </c>
      <c r="AI47" s="13">
        <v>2000</v>
      </c>
      <c r="AJ47" s="13"/>
      <c r="AK47" s="13">
        <f t="shared" si="22"/>
        <v>2000</v>
      </c>
      <c r="AL47" s="12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</row>
    <row r="48" spans="1:60" ht="30" hidden="1">
      <c r="A48" s="380" t="s">
        <v>583</v>
      </c>
      <c r="B48" s="13"/>
      <c r="C48" s="379"/>
      <c r="D48" s="379"/>
      <c r="E48" s="379"/>
      <c r="F48" s="379"/>
      <c r="G48" s="379"/>
      <c r="H48" s="379"/>
      <c r="I48" s="379"/>
      <c r="J48" s="379"/>
      <c r="K48" s="379"/>
      <c r="L48" s="379"/>
      <c r="M48" s="379"/>
      <c r="N48" s="379"/>
      <c r="O48" s="379"/>
      <c r="P48" s="379"/>
      <c r="Q48" s="379"/>
      <c r="R48" s="379"/>
      <c r="S48" s="379"/>
      <c r="T48" s="379"/>
      <c r="U48" s="379"/>
      <c r="V48" s="379"/>
      <c r="W48" s="379">
        <v>19972</v>
      </c>
      <c r="X48" s="13">
        <f t="shared" si="8"/>
        <v>19972</v>
      </c>
      <c r="Y48" s="13"/>
      <c r="Z48" s="13">
        <f t="shared" si="17"/>
        <v>19972</v>
      </c>
      <c r="AA48" s="13"/>
      <c r="AB48" s="13">
        <f t="shared" si="18"/>
        <v>19972</v>
      </c>
      <c r="AC48" s="13"/>
      <c r="AD48" s="13">
        <f t="shared" si="19"/>
        <v>19972</v>
      </c>
      <c r="AE48" s="13"/>
      <c r="AF48" s="13">
        <f t="shared" si="20"/>
        <v>19972</v>
      </c>
      <c r="AG48" s="13"/>
      <c r="AH48" s="13">
        <f t="shared" si="21"/>
        <v>19972</v>
      </c>
      <c r="AI48" s="13"/>
      <c r="AJ48" s="13"/>
      <c r="AK48" s="13">
        <f t="shared" si="22"/>
        <v>0</v>
      </c>
      <c r="AL48" s="12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</row>
    <row r="49" spans="1:96">
      <c r="A49" s="380" t="s">
        <v>807</v>
      </c>
      <c r="B49" s="13"/>
      <c r="C49" s="379"/>
      <c r="D49" s="379"/>
      <c r="E49" s="379"/>
      <c r="F49" s="379"/>
      <c r="G49" s="379"/>
      <c r="H49" s="379"/>
      <c r="I49" s="379"/>
      <c r="J49" s="379"/>
      <c r="K49" s="379"/>
      <c r="L49" s="379"/>
      <c r="M49" s="379"/>
      <c r="N49" s="379"/>
      <c r="O49" s="379"/>
      <c r="P49" s="379"/>
      <c r="Q49" s="379"/>
      <c r="R49" s="379"/>
      <c r="S49" s="379"/>
      <c r="T49" s="379"/>
      <c r="U49" s="379"/>
      <c r="V49" s="379"/>
      <c r="W49" s="379"/>
      <c r="X49" s="13"/>
      <c r="Y49" s="13">
        <v>918</v>
      </c>
      <c r="Z49" s="13">
        <f t="shared" si="17"/>
        <v>918</v>
      </c>
      <c r="AA49" s="13">
        <v>1125</v>
      </c>
      <c r="AB49" s="13">
        <f t="shared" si="18"/>
        <v>2043</v>
      </c>
      <c r="AC49" s="13"/>
      <c r="AD49" s="13">
        <f t="shared" si="19"/>
        <v>2043</v>
      </c>
      <c r="AE49" s="13"/>
      <c r="AF49" s="13">
        <f t="shared" si="20"/>
        <v>2043</v>
      </c>
      <c r="AG49" s="13"/>
      <c r="AH49" s="13">
        <f t="shared" si="21"/>
        <v>2043</v>
      </c>
      <c r="AI49" s="13">
        <v>1121</v>
      </c>
      <c r="AJ49" s="13"/>
      <c r="AK49" s="13">
        <f t="shared" si="22"/>
        <v>1121</v>
      </c>
      <c r="AL49" s="12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</row>
    <row r="50" spans="1:96">
      <c r="A50" s="380" t="s">
        <v>35</v>
      </c>
      <c r="B50" s="13"/>
      <c r="C50" s="378">
        <f>SUM(B50:B50)</f>
        <v>0</v>
      </c>
      <c r="D50" s="378"/>
      <c r="E50" s="379">
        <f t="shared" si="53"/>
        <v>0</v>
      </c>
      <c r="F50" s="379"/>
      <c r="G50" s="379">
        <f>SUM(E50:F50)</f>
        <v>0</v>
      </c>
      <c r="H50" s="379"/>
      <c r="I50" s="379">
        <f>SUM(G50:H50)</f>
        <v>0</v>
      </c>
      <c r="J50" s="379"/>
      <c r="K50" s="379">
        <f t="shared" si="49"/>
        <v>0</v>
      </c>
      <c r="L50" s="379"/>
      <c r="M50" s="379">
        <f t="shared" si="50"/>
        <v>0</v>
      </c>
      <c r="N50" s="379"/>
      <c r="O50" s="379">
        <f t="shared" si="51"/>
        <v>0</v>
      </c>
      <c r="P50" s="379">
        <v>500</v>
      </c>
      <c r="Q50" s="379"/>
      <c r="R50" s="379">
        <f t="shared" si="52"/>
        <v>500</v>
      </c>
      <c r="S50" s="379"/>
      <c r="T50" s="379">
        <f t="shared" si="16"/>
        <v>500</v>
      </c>
      <c r="U50" s="379"/>
      <c r="V50" s="379">
        <f t="shared" si="35"/>
        <v>500</v>
      </c>
      <c r="W50" s="379"/>
      <c r="X50" s="13">
        <f t="shared" si="8"/>
        <v>500</v>
      </c>
      <c r="Y50" s="13"/>
      <c r="Z50" s="13">
        <f t="shared" si="17"/>
        <v>500</v>
      </c>
      <c r="AA50" s="13"/>
      <c r="AB50" s="13">
        <f t="shared" si="18"/>
        <v>500</v>
      </c>
      <c r="AC50" s="13"/>
      <c r="AD50" s="13">
        <f t="shared" si="19"/>
        <v>500</v>
      </c>
      <c r="AE50" s="13"/>
      <c r="AF50" s="13">
        <f t="shared" si="20"/>
        <v>500</v>
      </c>
      <c r="AG50" s="13"/>
      <c r="AH50" s="13">
        <f t="shared" si="21"/>
        <v>500</v>
      </c>
      <c r="AI50" s="13">
        <v>500</v>
      </c>
      <c r="AJ50" s="13"/>
      <c r="AK50" s="13">
        <f t="shared" si="22"/>
        <v>500</v>
      </c>
      <c r="AL50" s="12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</row>
    <row r="51" spans="1:96">
      <c r="A51" s="380" t="s">
        <v>568</v>
      </c>
      <c r="B51" s="13"/>
      <c r="C51" s="378"/>
      <c r="D51" s="378"/>
      <c r="E51" s="379"/>
      <c r="F51" s="379"/>
      <c r="G51" s="379"/>
      <c r="H51" s="379"/>
      <c r="I51" s="379"/>
      <c r="J51" s="379"/>
      <c r="K51" s="379"/>
      <c r="L51" s="379"/>
      <c r="M51" s="379"/>
      <c r="N51" s="379"/>
      <c r="O51" s="379"/>
      <c r="P51" s="379"/>
      <c r="Q51" s="379"/>
      <c r="R51" s="379"/>
      <c r="S51" s="379">
        <v>30000</v>
      </c>
      <c r="T51" s="379">
        <f t="shared" si="16"/>
        <v>30000</v>
      </c>
      <c r="U51" s="379"/>
      <c r="V51" s="379">
        <f t="shared" si="35"/>
        <v>30000</v>
      </c>
      <c r="W51" s="379"/>
      <c r="X51" s="13">
        <f t="shared" si="8"/>
        <v>30000</v>
      </c>
      <c r="Y51" s="13"/>
      <c r="Z51" s="13">
        <f t="shared" si="17"/>
        <v>30000</v>
      </c>
      <c r="AA51" s="13"/>
      <c r="AB51" s="13">
        <f t="shared" si="18"/>
        <v>30000</v>
      </c>
      <c r="AC51" s="13"/>
      <c r="AD51" s="13">
        <f t="shared" si="19"/>
        <v>30000</v>
      </c>
      <c r="AE51" s="13"/>
      <c r="AF51" s="13">
        <f t="shared" si="20"/>
        <v>30000</v>
      </c>
      <c r="AG51" s="13"/>
      <c r="AH51" s="13">
        <f t="shared" si="21"/>
        <v>30000</v>
      </c>
      <c r="AI51" s="13"/>
      <c r="AJ51" s="13"/>
      <c r="AK51" s="13">
        <f t="shared" si="22"/>
        <v>0</v>
      </c>
      <c r="AL51" s="12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</row>
    <row r="52" spans="1:96" ht="30">
      <c r="A52" s="380" t="s">
        <v>613</v>
      </c>
      <c r="B52" s="13"/>
      <c r="C52" s="378"/>
      <c r="D52" s="378"/>
      <c r="E52" s="379"/>
      <c r="F52" s="379"/>
      <c r="G52" s="379"/>
      <c r="H52" s="379"/>
      <c r="I52" s="379"/>
      <c r="J52" s="379"/>
      <c r="K52" s="379"/>
      <c r="L52" s="379"/>
      <c r="M52" s="379"/>
      <c r="N52" s="379"/>
      <c r="O52" s="379"/>
      <c r="P52" s="379"/>
      <c r="Q52" s="379"/>
      <c r="R52" s="379"/>
      <c r="S52" s="379"/>
      <c r="T52" s="379"/>
      <c r="U52" s="379"/>
      <c r="V52" s="379"/>
      <c r="W52" s="379"/>
      <c r="X52" s="13"/>
      <c r="Y52" s="13"/>
      <c r="Z52" s="13"/>
      <c r="AA52" s="13"/>
      <c r="AB52" s="13"/>
      <c r="AC52" s="13">
        <f>2950+2200</f>
        <v>5150</v>
      </c>
      <c r="AD52" s="13">
        <f t="shared" si="19"/>
        <v>5150</v>
      </c>
      <c r="AE52" s="13"/>
      <c r="AF52" s="13">
        <f t="shared" si="20"/>
        <v>5150</v>
      </c>
      <c r="AG52" s="13"/>
      <c r="AH52" s="13">
        <f t="shared" si="21"/>
        <v>5150</v>
      </c>
      <c r="AI52" s="13">
        <v>10300</v>
      </c>
      <c r="AJ52" s="13"/>
      <c r="AK52" s="13">
        <f t="shared" si="22"/>
        <v>10300</v>
      </c>
      <c r="AL52" s="12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</row>
    <row r="53" spans="1:96">
      <c r="A53" s="10" t="s">
        <v>36</v>
      </c>
      <c r="B53" s="20" t="e">
        <f t="shared" ref="B53:AK53" si="54">B54+B57</f>
        <v>#REF!</v>
      </c>
      <c r="C53" s="20" t="e">
        <f t="shared" si="54"/>
        <v>#REF!</v>
      </c>
      <c r="D53" s="20" t="e">
        <f t="shared" si="54"/>
        <v>#REF!</v>
      </c>
      <c r="E53" s="20" t="e">
        <f t="shared" si="54"/>
        <v>#REF!</v>
      </c>
      <c r="F53" s="20" t="e">
        <f t="shared" si="54"/>
        <v>#REF!</v>
      </c>
      <c r="G53" s="20" t="e">
        <f t="shared" si="54"/>
        <v>#REF!</v>
      </c>
      <c r="H53" s="20" t="e">
        <f t="shared" si="54"/>
        <v>#REF!</v>
      </c>
      <c r="I53" s="20" t="e">
        <f t="shared" si="54"/>
        <v>#REF!</v>
      </c>
      <c r="J53" s="20" t="e">
        <f t="shared" si="54"/>
        <v>#REF!</v>
      </c>
      <c r="K53" s="20" t="e">
        <f t="shared" si="54"/>
        <v>#REF!</v>
      </c>
      <c r="L53" s="20" t="e">
        <f t="shared" si="54"/>
        <v>#REF!</v>
      </c>
      <c r="M53" s="20" t="e">
        <f t="shared" si="54"/>
        <v>#REF!</v>
      </c>
      <c r="N53" s="20" t="e">
        <f t="shared" si="54"/>
        <v>#REF!</v>
      </c>
      <c r="O53" s="20" t="e">
        <f t="shared" si="54"/>
        <v>#REF!</v>
      </c>
      <c r="P53" s="20">
        <f t="shared" si="54"/>
        <v>1614774</v>
      </c>
      <c r="Q53" s="20">
        <f t="shared" si="54"/>
        <v>0</v>
      </c>
      <c r="R53" s="20">
        <f t="shared" si="54"/>
        <v>1614774</v>
      </c>
      <c r="S53" s="20">
        <f t="shared" si="54"/>
        <v>0</v>
      </c>
      <c r="T53" s="20">
        <f t="shared" si="54"/>
        <v>1614774</v>
      </c>
      <c r="U53" s="20">
        <f t="shared" si="54"/>
        <v>0</v>
      </c>
      <c r="V53" s="20">
        <f t="shared" si="54"/>
        <v>1614774</v>
      </c>
      <c r="W53" s="20">
        <f t="shared" si="54"/>
        <v>140000</v>
      </c>
      <c r="X53" s="20">
        <f t="shared" si="54"/>
        <v>1754774</v>
      </c>
      <c r="Y53" s="20">
        <f t="shared" si="54"/>
        <v>116887</v>
      </c>
      <c r="Z53" s="20">
        <f t="shared" si="54"/>
        <v>1871661</v>
      </c>
      <c r="AA53" s="20">
        <f t="shared" si="54"/>
        <v>0</v>
      </c>
      <c r="AB53" s="20">
        <f t="shared" si="54"/>
        <v>1871661</v>
      </c>
      <c r="AC53" s="20">
        <f t="shared" si="54"/>
        <v>369000</v>
      </c>
      <c r="AD53" s="20">
        <f t="shared" si="54"/>
        <v>2240661</v>
      </c>
      <c r="AE53" s="20">
        <f t="shared" si="54"/>
        <v>4245</v>
      </c>
      <c r="AF53" s="20">
        <f t="shared" si="54"/>
        <v>2244906</v>
      </c>
      <c r="AG53" s="20">
        <f t="shared" si="54"/>
        <v>0</v>
      </c>
      <c r="AH53" s="20">
        <f t="shared" si="54"/>
        <v>2244906</v>
      </c>
      <c r="AI53" s="20">
        <f t="shared" si="54"/>
        <v>712209</v>
      </c>
      <c r="AJ53" s="20">
        <f t="shared" si="54"/>
        <v>511</v>
      </c>
      <c r="AK53" s="20">
        <f t="shared" si="54"/>
        <v>712720</v>
      </c>
      <c r="AL53" s="12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  <c r="BG53" s="18"/>
      <c r="BH53" s="18"/>
    </row>
    <row r="54" spans="1:96">
      <c r="A54" s="12" t="s">
        <v>38</v>
      </c>
      <c r="B54" s="13">
        <f t="shared" ref="B54:AD54" si="55">B55</f>
        <v>0</v>
      </c>
      <c r="C54" s="13">
        <f t="shared" si="55"/>
        <v>0</v>
      </c>
      <c r="D54" s="13">
        <f t="shared" si="55"/>
        <v>0</v>
      </c>
      <c r="E54" s="13">
        <f t="shared" si="55"/>
        <v>0</v>
      </c>
      <c r="F54" s="13">
        <f t="shared" si="55"/>
        <v>0</v>
      </c>
      <c r="G54" s="13">
        <f t="shared" si="55"/>
        <v>0</v>
      </c>
      <c r="H54" s="13">
        <f t="shared" si="55"/>
        <v>0</v>
      </c>
      <c r="I54" s="13">
        <f t="shared" si="55"/>
        <v>0</v>
      </c>
      <c r="J54" s="13">
        <f t="shared" si="55"/>
        <v>429</v>
      </c>
      <c r="K54" s="13">
        <f t="shared" si="55"/>
        <v>429</v>
      </c>
      <c r="L54" s="13">
        <f t="shared" si="55"/>
        <v>0</v>
      </c>
      <c r="M54" s="13">
        <f t="shared" si="55"/>
        <v>429</v>
      </c>
      <c r="N54" s="13">
        <f t="shared" si="55"/>
        <v>0</v>
      </c>
      <c r="O54" s="13">
        <f t="shared" si="55"/>
        <v>429</v>
      </c>
      <c r="P54" s="13">
        <f t="shared" si="55"/>
        <v>0</v>
      </c>
      <c r="Q54" s="13">
        <f t="shared" si="55"/>
        <v>0</v>
      </c>
      <c r="R54" s="13">
        <f t="shared" si="55"/>
        <v>0</v>
      </c>
      <c r="S54" s="13">
        <f t="shared" si="55"/>
        <v>0</v>
      </c>
      <c r="T54" s="13">
        <f t="shared" si="55"/>
        <v>0</v>
      </c>
      <c r="U54" s="13">
        <f t="shared" si="55"/>
        <v>0</v>
      </c>
      <c r="V54" s="13">
        <f t="shared" si="55"/>
        <v>0</v>
      </c>
      <c r="W54" s="13">
        <f t="shared" si="55"/>
        <v>0</v>
      </c>
      <c r="X54" s="13">
        <f t="shared" si="55"/>
        <v>0</v>
      </c>
      <c r="Y54" s="13">
        <f t="shared" si="55"/>
        <v>0</v>
      </c>
      <c r="Z54" s="13">
        <f t="shared" si="55"/>
        <v>0</v>
      </c>
      <c r="AA54" s="13">
        <f t="shared" si="55"/>
        <v>0</v>
      </c>
      <c r="AB54" s="13">
        <f t="shared" si="55"/>
        <v>0</v>
      </c>
      <c r="AC54" s="13">
        <f t="shared" si="55"/>
        <v>0</v>
      </c>
      <c r="AD54" s="13">
        <f t="shared" si="55"/>
        <v>0</v>
      </c>
      <c r="AE54" s="13">
        <f>AE55+AE56</f>
        <v>4245</v>
      </c>
      <c r="AF54" s="13">
        <f>AF55+AF56</f>
        <v>4245</v>
      </c>
      <c r="AG54" s="13">
        <f t="shared" ref="AG54:AJ54" si="56">AG55+AG56</f>
        <v>0</v>
      </c>
      <c r="AH54" s="13">
        <f t="shared" si="56"/>
        <v>4245</v>
      </c>
      <c r="AI54" s="13">
        <f t="shared" si="56"/>
        <v>0</v>
      </c>
      <c r="AJ54" s="13">
        <f t="shared" si="56"/>
        <v>0</v>
      </c>
      <c r="AK54" s="13">
        <f t="shared" si="22"/>
        <v>0</v>
      </c>
      <c r="AL54" s="14" t="s">
        <v>37</v>
      </c>
      <c r="AM54" s="395">
        <v>4865747</v>
      </c>
      <c r="AN54" s="395" t="e">
        <f>#REF!</f>
        <v>#REF!</v>
      </c>
      <c r="AO54" s="395" t="e">
        <f>#REF!</f>
        <v>#REF!</v>
      </c>
      <c r="AP54" s="395" t="e">
        <f>#REF!</f>
        <v>#REF!</v>
      </c>
      <c r="AQ54" s="395" t="e">
        <f>#REF!</f>
        <v>#REF!</v>
      </c>
      <c r="AR54" s="395" t="e">
        <f>#REF!</f>
        <v>#REF!</v>
      </c>
      <c r="AS54" s="395" t="e">
        <f>SUM(AQ54:AR54)</f>
        <v>#REF!</v>
      </c>
      <c r="AT54" s="395" t="e">
        <f>#REF!</f>
        <v>#REF!</v>
      </c>
      <c r="AU54" s="395">
        <v>5066230</v>
      </c>
      <c r="AV54" s="395" t="e">
        <f>#REF!</f>
        <v>#REF!</v>
      </c>
      <c r="AW54" s="395" t="e">
        <f>SUM(AU54:AV54)</f>
        <v>#REF!</v>
      </c>
      <c r="AX54" s="395" t="e">
        <f>#REF!</f>
        <v>#REF!</v>
      </c>
      <c r="AY54" s="395" t="e">
        <f>SUM(AW54:AX54)</f>
        <v>#REF!</v>
      </c>
      <c r="AZ54" s="395" t="e">
        <f>#REF!</f>
        <v>#REF!</v>
      </c>
      <c r="BA54" s="395" t="e">
        <f>SUM(AY54:AZ54)</f>
        <v>#REF!</v>
      </c>
      <c r="BB54" s="395" t="e">
        <f>#REF!</f>
        <v>#REF!</v>
      </c>
      <c r="BC54" s="395" t="e">
        <f>SUM(BA54:BB54)</f>
        <v>#REF!</v>
      </c>
      <c r="BD54" s="395" t="e">
        <f>#REF!</f>
        <v>#REF!</v>
      </c>
      <c r="BE54" s="395">
        <v>5213235</v>
      </c>
      <c r="BF54" s="395">
        <f>Beruházás!D49</f>
        <v>2905673</v>
      </c>
      <c r="BG54" s="18">
        <f>Beruházás!E49</f>
        <v>60148</v>
      </c>
      <c r="BH54" s="395">
        <f>SUM(BF54:BG54)</f>
        <v>2965821</v>
      </c>
    </row>
    <row r="55" spans="1:96">
      <c r="A55" s="380" t="s">
        <v>414</v>
      </c>
      <c r="B55" s="13"/>
      <c r="C55" s="379">
        <v>0</v>
      </c>
      <c r="D55" s="379"/>
      <c r="E55" s="379"/>
      <c r="F55" s="379"/>
      <c r="G55" s="379">
        <f>SUM(E55:F55)</f>
        <v>0</v>
      </c>
      <c r="H55" s="379"/>
      <c r="I55" s="379">
        <f>SUM(G55:H55)</f>
        <v>0</v>
      </c>
      <c r="J55" s="379">
        <v>429</v>
      </c>
      <c r="K55" s="379">
        <f>SUM(I55:J55)</f>
        <v>429</v>
      </c>
      <c r="L55" s="379"/>
      <c r="M55" s="379">
        <f>SUM(K55:L55)</f>
        <v>429</v>
      </c>
      <c r="N55" s="379"/>
      <c r="O55" s="379">
        <f>SUM(M55:N55)</f>
        <v>429</v>
      </c>
      <c r="P55" s="379"/>
      <c r="Q55" s="379"/>
      <c r="R55" s="379">
        <f>SUM(P55:Q55)</f>
        <v>0</v>
      </c>
      <c r="S55" s="379"/>
      <c r="T55" s="379">
        <f t="shared" si="16"/>
        <v>0</v>
      </c>
      <c r="U55" s="379"/>
      <c r="V55" s="379"/>
      <c r="W55" s="379"/>
      <c r="X55" s="13">
        <f t="shared" si="8"/>
        <v>0</v>
      </c>
      <c r="Y55" s="13"/>
      <c r="Z55" s="13">
        <f t="shared" si="17"/>
        <v>0</v>
      </c>
      <c r="AA55" s="13"/>
      <c r="AB55" s="13">
        <f t="shared" si="18"/>
        <v>0</v>
      </c>
      <c r="AC55" s="13"/>
      <c r="AD55" s="13">
        <f t="shared" si="19"/>
        <v>0</v>
      </c>
      <c r="AE55" s="13">
        <v>445</v>
      </c>
      <c r="AF55" s="13">
        <f t="shared" si="20"/>
        <v>445</v>
      </c>
      <c r="AG55" s="13"/>
      <c r="AH55" s="13">
        <f t="shared" si="21"/>
        <v>445</v>
      </c>
      <c r="AI55" s="13"/>
      <c r="AJ55" s="13"/>
      <c r="AK55" s="13">
        <f t="shared" si="22"/>
        <v>0</v>
      </c>
      <c r="AL55" s="10" t="s">
        <v>39</v>
      </c>
      <c r="AM55" s="395">
        <v>440016</v>
      </c>
      <c r="AN55" s="395" t="e">
        <f>#REF!</f>
        <v>#REF!</v>
      </c>
      <c r="AO55" s="395" t="e">
        <f>#REF!</f>
        <v>#REF!</v>
      </c>
      <c r="AP55" s="395" t="e">
        <f>#REF!</f>
        <v>#REF!</v>
      </c>
      <c r="AQ55" s="395" t="e">
        <f>#REF!</f>
        <v>#REF!</v>
      </c>
      <c r="AR55" s="395" t="s">
        <v>579</v>
      </c>
      <c r="AS55" s="395" t="e">
        <f>#REF!</f>
        <v>#REF!</v>
      </c>
      <c r="AT55" s="395" t="e">
        <f>#REF!</f>
        <v>#REF!</v>
      </c>
      <c r="AU55" s="395" t="e">
        <f t="shared" ref="AU55" si="57">SUM(AS55:AT55)</f>
        <v>#REF!</v>
      </c>
      <c r="AV55" s="395" t="e">
        <f>#REF!</f>
        <v>#REF!</v>
      </c>
      <c r="AW55" s="395" t="e">
        <f>#REF!</f>
        <v>#REF!</v>
      </c>
      <c r="AX55" s="395"/>
      <c r="AY55" s="395" t="e">
        <f t="shared" ref="AY55" si="58">SUM(AW55:AX55)</f>
        <v>#REF!</v>
      </c>
      <c r="AZ55" s="395"/>
      <c r="BA55" s="395" t="e">
        <f t="shared" ref="BA55" si="59">SUM(AY55:AZ55)</f>
        <v>#REF!</v>
      </c>
      <c r="BB55" s="395" t="e">
        <f>#REF!</f>
        <v>#REF!</v>
      </c>
      <c r="BC55" s="395" t="e">
        <f t="shared" ref="BC55" si="60">SUM(BA55:BB55)</f>
        <v>#REF!</v>
      </c>
      <c r="BD55" s="395" t="e">
        <f>#REF!</f>
        <v>#REF!</v>
      </c>
      <c r="BE55" s="395">
        <v>517952</v>
      </c>
      <c r="BF55" s="395">
        <f>Felújítás!D25</f>
        <v>614693</v>
      </c>
      <c r="BG55" s="18">
        <f>Felújítás!E25</f>
        <v>0</v>
      </c>
      <c r="BH55" s="395">
        <f t="shared" ref="BH55:BH59" si="61">SUM(BF55:BG55)</f>
        <v>614693</v>
      </c>
    </row>
    <row r="56" spans="1:96">
      <c r="A56" s="380" t="s">
        <v>616</v>
      </c>
      <c r="B56" s="13"/>
      <c r="C56" s="379"/>
      <c r="D56" s="379"/>
      <c r="E56" s="379"/>
      <c r="F56" s="379"/>
      <c r="G56" s="379"/>
      <c r="H56" s="379"/>
      <c r="I56" s="379"/>
      <c r="J56" s="379"/>
      <c r="K56" s="379"/>
      <c r="L56" s="379"/>
      <c r="M56" s="379"/>
      <c r="N56" s="379"/>
      <c r="O56" s="379"/>
      <c r="P56" s="379"/>
      <c r="Q56" s="379"/>
      <c r="R56" s="379"/>
      <c r="S56" s="379"/>
      <c r="T56" s="379"/>
      <c r="U56" s="379"/>
      <c r="V56" s="379"/>
      <c r="W56" s="379"/>
      <c r="X56" s="13"/>
      <c r="Y56" s="13"/>
      <c r="Z56" s="13"/>
      <c r="AA56" s="13"/>
      <c r="AB56" s="13"/>
      <c r="AC56" s="13"/>
      <c r="AD56" s="13"/>
      <c r="AE56" s="13">
        <v>3800</v>
      </c>
      <c r="AF56" s="13">
        <f t="shared" si="20"/>
        <v>3800</v>
      </c>
      <c r="AG56" s="13"/>
      <c r="AH56" s="13">
        <f t="shared" si="21"/>
        <v>3800</v>
      </c>
      <c r="AI56" s="13"/>
      <c r="AJ56" s="13"/>
      <c r="AK56" s="13">
        <f t="shared" si="22"/>
        <v>0</v>
      </c>
      <c r="AL56" s="195" t="s">
        <v>40</v>
      </c>
      <c r="AM56" s="21">
        <f t="shared" ref="AM56:BH56" si="62">AM57+AM58+AM59</f>
        <v>47399</v>
      </c>
      <c r="AN56" s="21">
        <f t="shared" si="62"/>
        <v>0</v>
      </c>
      <c r="AO56" s="21">
        <f t="shared" si="62"/>
        <v>25071</v>
      </c>
      <c r="AP56" s="21">
        <f t="shared" si="62"/>
        <v>0</v>
      </c>
      <c r="AQ56" s="21">
        <f t="shared" si="62"/>
        <v>25071</v>
      </c>
      <c r="AR56" s="21">
        <f t="shared" si="62"/>
        <v>490</v>
      </c>
      <c r="AS56" s="21">
        <f t="shared" si="62"/>
        <v>25561</v>
      </c>
      <c r="AT56" s="21">
        <f t="shared" si="62"/>
        <v>-900</v>
      </c>
      <c r="AU56" s="21">
        <f t="shared" si="62"/>
        <v>25647</v>
      </c>
      <c r="AV56" s="21">
        <f t="shared" si="62"/>
        <v>-850</v>
      </c>
      <c r="AW56" s="21">
        <f t="shared" si="62"/>
        <v>24797</v>
      </c>
      <c r="AX56" s="21">
        <f t="shared" si="62"/>
        <v>0</v>
      </c>
      <c r="AY56" s="21">
        <f t="shared" si="62"/>
        <v>24797</v>
      </c>
      <c r="AZ56" s="21">
        <f t="shared" si="62"/>
        <v>0</v>
      </c>
      <c r="BA56" s="21">
        <f t="shared" si="62"/>
        <v>24797</v>
      </c>
      <c r="BB56" s="21">
        <f t="shared" si="62"/>
        <v>0</v>
      </c>
      <c r="BC56" s="21">
        <f t="shared" si="62"/>
        <v>24797</v>
      </c>
      <c r="BD56" s="21">
        <f t="shared" si="62"/>
        <v>-15934</v>
      </c>
      <c r="BE56" s="21">
        <f t="shared" si="62"/>
        <v>46414</v>
      </c>
      <c r="BF56" s="21">
        <f t="shared" si="62"/>
        <v>321110</v>
      </c>
      <c r="BG56" s="21">
        <f t="shared" si="62"/>
        <v>150</v>
      </c>
      <c r="BH56" s="21">
        <f t="shared" si="62"/>
        <v>321260</v>
      </c>
    </row>
    <row r="57" spans="1:96" s="2" customFormat="1" ht="30">
      <c r="A57" s="12" t="s">
        <v>43</v>
      </c>
      <c r="B57" s="13" t="e">
        <f>B58</f>
        <v>#REF!</v>
      </c>
      <c r="C57" s="13" t="e">
        <f t="shared" ref="C57:AE57" si="63">C58</f>
        <v>#REF!</v>
      </c>
      <c r="D57" s="13" t="e">
        <f t="shared" si="63"/>
        <v>#REF!</v>
      </c>
      <c r="E57" s="13" t="e">
        <f t="shared" si="63"/>
        <v>#REF!</v>
      </c>
      <c r="F57" s="13" t="e">
        <f t="shared" si="63"/>
        <v>#REF!</v>
      </c>
      <c r="G57" s="13" t="e">
        <f t="shared" si="63"/>
        <v>#REF!</v>
      </c>
      <c r="H57" s="13" t="e">
        <f t="shared" si="63"/>
        <v>#REF!</v>
      </c>
      <c r="I57" s="13" t="e">
        <f t="shared" si="63"/>
        <v>#REF!</v>
      </c>
      <c r="J57" s="13" t="e">
        <f t="shared" si="63"/>
        <v>#REF!</v>
      </c>
      <c r="K57" s="13" t="e">
        <f t="shared" si="63"/>
        <v>#REF!</v>
      </c>
      <c r="L57" s="13" t="e">
        <f t="shared" si="63"/>
        <v>#REF!</v>
      </c>
      <c r="M57" s="13" t="e">
        <f t="shared" si="63"/>
        <v>#REF!</v>
      </c>
      <c r="N57" s="13" t="e">
        <f t="shared" si="63"/>
        <v>#REF!</v>
      </c>
      <c r="O57" s="13" t="e">
        <f t="shared" si="63"/>
        <v>#REF!</v>
      </c>
      <c r="P57" s="13">
        <f t="shared" si="63"/>
        <v>1614774</v>
      </c>
      <c r="Q57" s="13">
        <f t="shared" si="63"/>
        <v>0</v>
      </c>
      <c r="R57" s="13">
        <f t="shared" si="63"/>
        <v>1614774</v>
      </c>
      <c r="S57" s="13">
        <f t="shared" si="63"/>
        <v>0</v>
      </c>
      <c r="T57" s="13">
        <f t="shared" si="63"/>
        <v>1614774</v>
      </c>
      <c r="U57" s="13">
        <f t="shared" si="63"/>
        <v>0</v>
      </c>
      <c r="V57" s="13">
        <f>V58</f>
        <v>1614774</v>
      </c>
      <c r="W57" s="13">
        <f t="shared" si="63"/>
        <v>140000</v>
      </c>
      <c r="X57" s="13">
        <f t="shared" si="63"/>
        <v>1754774</v>
      </c>
      <c r="Y57" s="13">
        <f t="shared" si="63"/>
        <v>116887</v>
      </c>
      <c r="Z57" s="13">
        <f t="shared" si="63"/>
        <v>1871661</v>
      </c>
      <c r="AA57" s="13">
        <f t="shared" si="63"/>
        <v>0</v>
      </c>
      <c r="AB57" s="13">
        <f t="shared" si="63"/>
        <v>1871661</v>
      </c>
      <c r="AC57" s="13">
        <f>AC58</f>
        <v>369000</v>
      </c>
      <c r="AD57" s="13">
        <f t="shared" si="63"/>
        <v>2240661</v>
      </c>
      <c r="AE57" s="13">
        <f t="shared" si="63"/>
        <v>0</v>
      </c>
      <c r="AF57" s="13">
        <f>AF58</f>
        <v>2240661</v>
      </c>
      <c r="AG57" s="13">
        <f t="shared" ref="AG57:AK57" si="64">AG58</f>
        <v>0</v>
      </c>
      <c r="AH57" s="13">
        <f t="shared" si="64"/>
        <v>2240661</v>
      </c>
      <c r="AI57" s="13">
        <f>AI58</f>
        <v>712209</v>
      </c>
      <c r="AJ57" s="13">
        <f t="shared" si="64"/>
        <v>511</v>
      </c>
      <c r="AK57" s="13">
        <f t="shared" si="64"/>
        <v>712720</v>
      </c>
      <c r="AL57" s="12" t="s">
        <v>41</v>
      </c>
      <c r="AM57" s="18">
        <f>'Pe.átad., Kölcsönök'!C52</f>
        <v>0</v>
      </c>
      <c r="AN57" s="18">
        <f>'Pe.átad., Kölcsönök'!D52</f>
        <v>0</v>
      </c>
      <c r="AO57" s="18">
        <f>'Pe.átad., Kölcsönök'!E52</f>
        <v>0</v>
      </c>
      <c r="AP57" s="18"/>
      <c r="AQ57" s="18"/>
      <c r="AR57" s="18">
        <f>'Pe.átad., Kölcsönök'!H52</f>
        <v>490</v>
      </c>
      <c r="AS57" s="18">
        <f t="shared" ref="AS57:AS59" si="65">SUM(AQ57:AR57)</f>
        <v>490</v>
      </c>
      <c r="AT57" s="18">
        <f>'Pe.átad., Kölcsönök'!J52</f>
        <v>0</v>
      </c>
      <c r="AU57" s="18">
        <f>SUM(AS57:AT57)</f>
        <v>490</v>
      </c>
      <c r="AV57" s="18">
        <f>'Pe.átad., Kölcsönök'!L52</f>
        <v>0</v>
      </c>
      <c r="AW57" s="18">
        <f t="shared" ref="AW57:AW59" si="66">SUM(AU57:AV57)</f>
        <v>490</v>
      </c>
      <c r="AX57" s="18"/>
      <c r="AY57" s="18">
        <f>SUM(AW57:AX57)</f>
        <v>490</v>
      </c>
      <c r="AZ57" s="18">
        <f>'Pe.átad., Kölcsönök'!P52</f>
        <v>0</v>
      </c>
      <c r="BA57" s="18">
        <f>SUM(AY57:AZ57)</f>
        <v>490</v>
      </c>
      <c r="BB57" s="18"/>
      <c r="BC57" s="18">
        <f>SUM(BA57:BB57)</f>
        <v>490</v>
      </c>
      <c r="BD57" s="18">
        <f>'Pe.átad., Kölcsönök'!T52</f>
        <v>0</v>
      </c>
      <c r="BE57" s="18">
        <v>540</v>
      </c>
      <c r="BF57" s="18">
        <f>'Pe.átad., Kölcsönök'!V52</f>
        <v>0</v>
      </c>
      <c r="BG57" s="13">
        <f>'Pe.átad., Kölcsönök'!W52</f>
        <v>0</v>
      </c>
      <c r="BH57" s="18">
        <f t="shared" si="61"/>
        <v>0</v>
      </c>
      <c r="BI57" s="196"/>
      <c r="BJ57" s="196"/>
      <c r="BK57" s="196"/>
      <c r="BL57" s="196"/>
      <c r="BM57" s="196"/>
      <c r="BN57" s="196"/>
      <c r="BO57" s="196"/>
      <c r="BP57" s="196"/>
      <c r="BQ57" s="196"/>
      <c r="BR57" s="196"/>
      <c r="BS57" s="196"/>
      <c r="BT57" s="196"/>
      <c r="BU57" s="196"/>
      <c r="BV57" s="196"/>
      <c r="BW57" s="196"/>
      <c r="BX57" s="196"/>
      <c r="BY57" s="196"/>
      <c r="BZ57" s="196"/>
      <c r="CA57" s="196"/>
      <c r="CB57" s="196"/>
      <c r="CC57" s="196"/>
      <c r="CD57" s="196"/>
      <c r="CE57" s="196"/>
      <c r="CF57" s="196"/>
      <c r="CG57" s="196"/>
      <c r="CH57" s="196"/>
      <c r="CI57" s="196"/>
      <c r="CJ57" s="196"/>
      <c r="CK57" s="196"/>
      <c r="CL57" s="196"/>
      <c r="CM57" s="196"/>
      <c r="CN57" s="196"/>
      <c r="CO57" s="196"/>
      <c r="CP57" s="196"/>
      <c r="CQ57" s="196"/>
      <c r="CR57" s="196"/>
    </row>
    <row r="58" spans="1:96" ht="30">
      <c r="A58" s="24" t="s">
        <v>44</v>
      </c>
      <c r="B58" s="13" t="e">
        <f>#REF!+#REF!+#REF!+#REF!+#REF!+#REF!+#REF!+#REF!+#REF!+#REF!</f>
        <v>#REF!</v>
      </c>
      <c r="C58" s="13" t="e">
        <f>#REF!+#REF!+#REF!+#REF!+#REF!+#REF!+#REF!+#REF!+#REF!+#REF!</f>
        <v>#REF!</v>
      </c>
      <c r="D58" s="13" t="e">
        <f>#REF!+#REF!+#REF!+#REF!+#REF!+#REF!+#REF!+#REF!+#REF!+#REF!+#REF!+#REF!+#REF!+D59</f>
        <v>#REF!</v>
      </c>
      <c r="E58" s="13" t="e">
        <f>#REF!+#REF!+#REF!+#REF!+#REF!+#REF!+#REF!+#REF!+#REF!+#REF!+#REF!+#REF!+#REF!+E59</f>
        <v>#REF!</v>
      </c>
      <c r="F58" s="13" t="e">
        <f>#REF!+#REF!+#REF!+#REF!+#REF!+#REF!+#REF!+#REF!+#REF!+#REF!+#REF!+#REF!+#REF!+F59</f>
        <v>#REF!</v>
      </c>
      <c r="G58" s="13" t="e">
        <f>#REF!+#REF!+#REF!+#REF!+#REF!+#REF!+#REF!+#REF!+#REF!+#REF!+#REF!+#REF!+#REF!+G59+G60</f>
        <v>#REF!</v>
      </c>
      <c r="H58" s="13" t="e">
        <f>#REF!+#REF!+#REF!+#REF!+#REF!+#REF!+#REF!+#REF!+#REF!+#REF!+#REF!+#REF!+#REF!+H59+H60+H61</f>
        <v>#REF!</v>
      </c>
      <c r="I58" s="13" t="e">
        <f>#REF!+#REF!+#REF!+#REF!+#REF!+#REF!+#REF!+#REF!+#REF!+#REF!+#REF!+#REF!+#REF!+I59+I60+I61</f>
        <v>#REF!</v>
      </c>
      <c r="J58" s="13" t="e">
        <f>#REF!+#REF!+#REF!+#REF!+#REF!+#REF!+#REF!+#REF!+#REF!+#REF!+#REF!+#REF!+#REF!+J59+J60+J61</f>
        <v>#REF!</v>
      </c>
      <c r="K58" s="13" t="e">
        <f>#REF!+#REF!+#REF!+#REF!+#REF!+#REF!+#REF!+#REF!+#REF!+#REF!+#REF!+#REF!+#REF!+K59+K60+K61</f>
        <v>#REF!</v>
      </c>
      <c r="L58" s="13" t="e">
        <f>#REF!+#REF!+#REF!+#REF!+#REF!+#REF!+#REF!+#REF!+#REF!+#REF!+#REF!+#REF!+#REF!+L59+L60+L61+#REF!</f>
        <v>#REF!</v>
      </c>
      <c r="M58" s="13" t="e">
        <f>#REF!+#REF!+#REF!+#REF!+#REF!+#REF!+#REF!+#REF!+#REF!+#REF!+#REF!+#REF!+#REF!+M59+M60+M61+#REF!</f>
        <v>#REF!</v>
      </c>
      <c r="N58" s="13" t="e">
        <f>#REF!+#REF!+#REF!+#REF!+#REF!+#REF!+#REF!+#REF!+#REF!+#REF!+#REF!+#REF!+#REF!+N59+N60+N61+#REF!</f>
        <v>#REF!</v>
      </c>
      <c r="O58" s="13" t="e">
        <f>#REF!+#REF!+#REF!+#REF!+#REF!+#REF!+#REF!+#REF!+#REF!+#REF!+#REF!+#REF!+#REF!+O59+O60+O61+#REF!+O62</f>
        <v>#REF!</v>
      </c>
      <c r="P58" s="13">
        <f>SUM(P59:P67)</f>
        <v>1614774</v>
      </c>
      <c r="Q58" s="13">
        <f t="shared" ref="Q58:AI58" si="67">SUM(Q59:Q67)</f>
        <v>0</v>
      </c>
      <c r="R58" s="13">
        <f t="shared" si="67"/>
        <v>1614774</v>
      </c>
      <c r="S58" s="13">
        <f t="shared" si="67"/>
        <v>0</v>
      </c>
      <c r="T58" s="13">
        <f t="shared" si="67"/>
        <v>1614774</v>
      </c>
      <c r="U58" s="13">
        <f t="shared" si="67"/>
        <v>0</v>
      </c>
      <c r="V58" s="13">
        <f t="shared" si="67"/>
        <v>1614774</v>
      </c>
      <c r="W58" s="13">
        <f t="shared" si="67"/>
        <v>140000</v>
      </c>
      <c r="X58" s="13">
        <f t="shared" si="67"/>
        <v>1754774</v>
      </c>
      <c r="Y58" s="13">
        <f t="shared" si="67"/>
        <v>116887</v>
      </c>
      <c r="Z58" s="13">
        <f t="shared" si="67"/>
        <v>1871661</v>
      </c>
      <c r="AA58" s="13">
        <f t="shared" si="67"/>
        <v>0</v>
      </c>
      <c r="AB58" s="13">
        <f t="shared" si="67"/>
        <v>1871661</v>
      </c>
      <c r="AC58" s="13">
        <f t="shared" si="67"/>
        <v>369000</v>
      </c>
      <c r="AD58" s="13">
        <f t="shared" si="67"/>
        <v>2240661</v>
      </c>
      <c r="AE58" s="13">
        <f t="shared" si="67"/>
        <v>0</v>
      </c>
      <c r="AF58" s="13">
        <f t="shared" si="67"/>
        <v>2240661</v>
      </c>
      <c r="AG58" s="13">
        <f t="shared" si="67"/>
        <v>0</v>
      </c>
      <c r="AH58" s="13">
        <f t="shared" si="67"/>
        <v>2240661</v>
      </c>
      <c r="AI58" s="13">
        <f>SUM(AI59:AI67)</f>
        <v>712209</v>
      </c>
      <c r="AJ58" s="13">
        <f t="shared" ref="AJ58:AK58" si="68">SUM(AJ59:AJ67)</f>
        <v>511</v>
      </c>
      <c r="AK58" s="13">
        <f t="shared" si="68"/>
        <v>712720</v>
      </c>
      <c r="AL58" s="12" t="s">
        <v>42</v>
      </c>
      <c r="AM58" s="18">
        <f>'Pe.átad., Kölcsönök'!C56</f>
        <v>7017</v>
      </c>
      <c r="AN58" s="18">
        <f>'Pe.átad., Kölcsönök'!D56</f>
        <v>0</v>
      </c>
      <c r="AO58" s="18">
        <f>'Pe.átad., Kölcsönök'!E56</f>
        <v>7017</v>
      </c>
      <c r="AP58" s="18">
        <f>'Pe.átad., Kölcsönök'!F56</f>
        <v>0</v>
      </c>
      <c r="AQ58" s="18">
        <f>'Pe.átad., Kölcsönök'!G56</f>
        <v>7017</v>
      </c>
      <c r="AR58" s="18">
        <f>'Pe.átad., Kölcsönök'!H56</f>
        <v>0</v>
      </c>
      <c r="AS58" s="18">
        <f t="shared" si="65"/>
        <v>7017</v>
      </c>
      <c r="AT58" s="18">
        <f>'Pe.átad., Kölcsönök'!J56</f>
        <v>-900</v>
      </c>
      <c r="AU58" s="18">
        <v>7103</v>
      </c>
      <c r="AV58" s="18">
        <f>'Pe.átad., Kölcsönök'!L56</f>
        <v>-850</v>
      </c>
      <c r="AW58" s="18">
        <f t="shared" si="66"/>
        <v>6253</v>
      </c>
      <c r="AX58" s="18"/>
      <c r="AY58" s="18">
        <f>SUM(AW58:AX58)</f>
        <v>6253</v>
      </c>
      <c r="AZ58" s="18">
        <f>'Pe.átad., Kölcsönök'!P56</f>
        <v>0</v>
      </c>
      <c r="BA58" s="18">
        <f>SUM(AY58:AZ58)</f>
        <v>6253</v>
      </c>
      <c r="BB58" s="18"/>
      <c r="BC58" s="18">
        <f t="shared" ref="BC58:BC59" si="69">SUM(BA58:BB58)</f>
        <v>6253</v>
      </c>
      <c r="BD58" s="18">
        <f>'Pe.átad., Kölcsönök'!T56</f>
        <v>-400</v>
      </c>
      <c r="BE58" s="18">
        <v>5853</v>
      </c>
      <c r="BF58" s="18">
        <f>'Pe.átad., Kölcsönök'!V56</f>
        <v>8167</v>
      </c>
      <c r="BG58" s="18">
        <f>'Pe.átad., Kölcsönök'!W56</f>
        <v>0</v>
      </c>
      <c r="BH58" s="18">
        <f t="shared" si="61"/>
        <v>8167</v>
      </c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2"/>
      <c r="BV58" s="22"/>
      <c r="BW58" s="22"/>
      <c r="BX58" s="22"/>
      <c r="BY58" s="22"/>
      <c r="BZ58" s="22"/>
      <c r="CA58" s="22"/>
      <c r="CB58" s="22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2"/>
      <c r="CQ58" s="22"/>
      <c r="CR58" s="22"/>
    </row>
    <row r="59" spans="1:96" ht="30">
      <c r="A59" s="47" t="s">
        <v>551</v>
      </c>
      <c r="B59" s="13"/>
      <c r="C59" s="379"/>
      <c r="D59" s="379">
        <v>8078</v>
      </c>
      <c r="E59" s="379">
        <f>SUM(C59:D59)</f>
        <v>8078</v>
      </c>
      <c r="F59" s="379"/>
      <c r="G59" s="379">
        <f>SUM(E59:F59)</f>
        <v>8078</v>
      </c>
      <c r="H59" s="379"/>
      <c r="I59" s="379">
        <f>SUM(G59:H59)</f>
        <v>8078</v>
      </c>
      <c r="J59" s="379"/>
      <c r="K59" s="379">
        <f>SUM(I59:J59)</f>
        <v>8078</v>
      </c>
      <c r="L59" s="379"/>
      <c r="M59" s="379">
        <f>SUM(K59:L59)</f>
        <v>8078</v>
      </c>
      <c r="N59" s="379"/>
      <c r="O59" s="379">
        <f>SUM(M59:N59)</f>
        <v>8078</v>
      </c>
      <c r="P59" s="379">
        <v>8078</v>
      </c>
      <c r="Q59" s="379"/>
      <c r="R59" s="379">
        <f>SUM(P59:Q59)</f>
        <v>8078</v>
      </c>
      <c r="S59" s="379"/>
      <c r="T59" s="379">
        <f>SUM(R59:S59)</f>
        <v>8078</v>
      </c>
      <c r="U59" s="379"/>
      <c r="V59" s="13">
        <f>SUM(T59:U59)</f>
        <v>8078</v>
      </c>
      <c r="W59" s="13"/>
      <c r="X59" s="13">
        <f>SUM(V59:W59)</f>
        <v>8078</v>
      </c>
      <c r="Y59" s="13"/>
      <c r="Z59" s="13">
        <f t="shared" si="17"/>
        <v>8078</v>
      </c>
      <c r="AA59" s="13"/>
      <c r="AB59" s="13">
        <f t="shared" si="18"/>
        <v>8078</v>
      </c>
      <c r="AC59" s="13"/>
      <c r="AD59" s="13">
        <f t="shared" si="19"/>
        <v>8078</v>
      </c>
      <c r="AE59" s="13"/>
      <c r="AF59" s="13">
        <f t="shared" si="20"/>
        <v>8078</v>
      </c>
      <c r="AG59" s="13"/>
      <c r="AH59" s="13">
        <f t="shared" si="21"/>
        <v>8078</v>
      </c>
      <c r="AI59" s="13">
        <v>8078</v>
      </c>
      <c r="AJ59" s="13"/>
      <c r="AK59" s="13">
        <f t="shared" si="22"/>
        <v>8078</v>
      </c>
      <c r="AL59" s="23" t="s">
        <v>567</v>
      </c>
      <c r="AM59" s="18">
        <v>40382</v>
      </c>
      <c r="AN59" s="18">
        <f>'Pe.átad., Kölcsönök'!D49</f>
        <v>0</v>
      </c>
      <c r="AO59" s="18">
        <f>'Pe.átad., Kölcsönök'!E49</f>
        <v>18054</v>
      </c>
      <c r="AP59" s="18">
        <f>'Pe.átad., Kölcsönök'!F49</f>
        <v>0</v>
      </c>
      <c r="AQ59" s="18">
        <f>'Pe.átad., Kölcsönök'!G49</f>
        <v>18054</v>
      </c>
      <c r="AR59" s="18">
        <f>'Pe.átad., Kölcsönök'!H49</f>
        <v>0</v>
      </c>
      <c r="AS59" s="18">
        <f t="shared" si="65"/>
        <v>18054</v>
      </c>
      <c r="AT59" s="18">
        <f>'Pe.átad., Kölcsönök'!J49</f>
        <v>0</v>
      </c>
      <c r="AU59" s="18">
        <f>SUM(AS59:AT59)</f>
        <v>18054</v>
      </c>
      <c r="AV59" s="18">
        <f>'Pe.átad., Kölcsönök'!L49</f>
        <v>0</v>
      </c>
      <c r="AW59" s="18">
        <f t="shared" si="66"/>
        <v>18054</v>
      </c>
      <c r="AX59" s="18">
        <f>'Pe.átad., Kölcsönök'!N49</f>
        <v>0</v>
      </c>
      <c r="AY59" s="18">
        <f>SUM(AW59:AX59)</f>
        <v>18054</v>
      </c>
      <c r="AZ59" s="18">
        <f>'Pe.átad., Kölcsönök'!P49</f>
        <v>0</v>
      </c>
      <c r="BA59" s="18">
        <f>SUM(AY59:AZ59)</f>
        <v>18054</v>
      </c>
      <c r="BB59" s="18"/>
      <c r="BC59" s="18">
        <f t="shared" si="69"/>
        <v>18054</v>
      </c>
      <c r="BD59" s="18">
        <f>'Pe.átad., Kölcsönök'!T49</f>
        <v>-15534</v>
      </c>
      <c r="BE59" s="18">
        <v>40021</v>
      </c>
      <c r="BF59" s="18">
        <f>'Pe.átad., Kölcsönök'!V49</f>
        <v>312943</v>
      </c>
      <c r="BG59" s="18">
        <f>'Pe.átad., Kölcsönök'!W49</f>
        <v>150</v>
      </c>
      <c r="BH59" s="18">
        <f t="shared" si="61"/>
        <v>313093</v>
      </c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2"/>
      <c r="BZ59" s="22"/>
      <c r="CA59" s="22"/>
      <c r="CB59" s="22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</row>
    <row r="60" spans="1:96">
      <c r="A60" s="47" t="s">
        <v>552</v>
      </c>
      <c r="B60" s="13"/>
      <c r="C60" s="379"/>
      <c r="D60" s="379"/>
      <c r="E60" s="379"/>
      <c r="F60" s="379"/>
      <c r="G60" s="379"/>
      <c r="H60" s="379">
        <v>2452</v>
      </c>
      <c r="I60" s="379">
        <f>SUM(G60:H60)</f>
        <v>2452</v>
      </c>
      <c r="J60" s="379"/>
      <c r="K60" s="379">
        <f>SUM(I60:J60)</f>
        <v>2452</v>
      </c>
      <c r="L60" s="379"/>
      <c r="M60" s="379">
        <f>SUM(K60:L60)</f>
        <v>2452</v>
      </c>
      <c r="N60" s="379"/>
      <c r="O60" s="379">
        <f>SUM(M60:N60)</f>
        <v>2452</v>
      </c>
      <c r="P60" s="379">
        <v>6630</v>
      </c>
      <c r="Q60" s="379"/>
      <c r="R60" s="379">
        <f>SUM(P60:Q60)</f>
        <v>6630</v>
      </c>
      <c r="S60" s="379"/>
      <c r="T60" s="379">
        <f>SUM(R60:S60)</f>
        <v>6630</v>
      </c>
      <c r="U60" s="379"/>
      <c r="V60" s="13">
        <f>SUM(T60:U60)</f>
        <v>6630</v>
      </c>
      <c r="W60" s="13"/>
      <c r="X60" s="13">
        <f>SUM(V60:W60)</f>
        <v>6630</v>
      </c>
      <c r="Y60" s="13"/>
      <c r="Z60" s="13">
        <f t="shared" si="17"/>
        <v>6630</v>
      </c>
      <c r="AA60" s="13"/>
      <c r="AB60" s="13">
        <f t="shared" si="18"/>
        <v>6630</v>
      </c>
      <c r="AC60" s="13"/>
      <c r="AD60" s="13">
        <f t="shared" si="19"/>
        <v>6630</v>
      </c>
      <c r="AE60" s="13"/>
      <c r="AF60" s="13">
        <f t="shared" si="20"/>
        <v>6630</v>
      </c>
      <c r="AG60" s="13"/>
      <c r="AH60" s="13">
        <f t="shared" si="21"/>
        <v>6630</v>
      </c>
      <c r="AI60" s="13">
        <v>3733</v>
      </c>
      <c r="AJ60" s="13"/>
      <c r="AK60" s="13">
        <f t="shared" si="22"/>
        <v>3733</v>
      </c>
      <c r="AL60" s="12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</row>
    <row r="61" spans="1:96">
      <c r="A61" s="47" t="s">
        <v>553</v>
      </c>
      <c r="B61" s="13"/>
      <c r="C61" s="379"/>
      <c r="D61" s="379"/>
      <c r="E61" s="379"/>
      <c r="F61" s="379"/>
      <c r="G61" s="379"/>
      <c r="H61" s="379">
        <v>1400000</v>
      </c>
      <c r="I61" s="379">
        <f>SUM(G61:H61)</f>
        <v>1400000</v>
      </c>
      <c r="J61" s="379"/>
      <c r="K61" s="379">
        <f>SUM(I61:J61)</f>
        <v>1400000</v>
      </c>
      <c r="L61" s="379"/>
      <c r="M61" s="379">
        <f>SUM(K61:L61)</f>
        <v>1400000</v>
      </c>
      <c r="N61" s="379"/>
      <c r="O61" s="379">
        <f>SUM(M61:N61)</f>
        <v>1400000</v>
      </c>
      <c r="P61" s="379">
        <v>1293066</v>
      </c>
      <c r="Q61" s="379"/>
      <c r="R61" s="379">
        <f>SUM(P61:Q61)</f>
        <v>1293066</v>
      </c>
      <c r="S61" s="379"/>
      <c r="T61" s="379">
        <f>SUM(R61:S61)</f>
        <v>1293066</v>
      </c>
      <c r="U61" s="379"/>
      <c r="V61" s="13">
        <f>SUM(T61:U61)</f>
        <v>1293066</v>
      </c>
      <c r="W61" s="13"/>
      <c r="X61" s="13">
        <f>SUM(V61:W61)</f>
        <v>1293066</v>
      </c>
      <c r="Y61" s="13"/>
      <c r="Z61" s="13">
        <f t="shared" si="17"/>
        <v>1293066</v>
      </c>
      <c r="AA61" s="13"/>
      <c r="AB61" s="13">
        <f t="shared" si="18"/>
        <v>1293066</v>
      </c>
      <c r="AC61" s="13"/>
      <c r="AD61" s="13">
        <f t="shared" si="19"/>
        <v>1293066</v>
      </c>
      <c r="AE61" s="13"/>
      <c r="AF61" s="13">
        <f t="shared" si="20"/>
        <v>1293066</v>
      </c>
      <c r="AG61" s="13"/>
      <c r="AH61" s="13">
        <f t="shared" si="21"/>
        <v>1293066</v>
      </c>
      <c r="AI61" s="13">
        <v>237033</v>
      </c>
      <c r="AJ61" s="13"/>
      <c r="AK61" s="13">
        <f t="shared" si="22"/>
        <v>237033</v>
      </c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8"/>
    </row>
    <row r="62" spans="1:96" ht="25.5">
      <c r="A62" s="47" t="s">
        <v>680</v>
      </c>
      <c r="B62" s="13"/>
      <c r="C62" s="379"/>
      <c r="D62" s="379"/>
      <c r="E62" s="379"/>
      <c r="F62" s="379"/>
      <c r="G62" s="379"/>
      <c r="H62" s="379"/>
      <c r="I62" s="379"/>
      <c r="J62" s="379"/>
      <c r="K62" s="379"/>
      <c r="L62" s="379"/>
      <c r="M62" s="379"/>
      <c r="N62" s="379"/>
      <c r="O62" s="379"/>
      <c r="P62" s="379">
        <v>307000</v>
      </c>
      <c r="Q62" s="379"/>
      <c r="R62" s="379">
        <f>SUM(P62:Q62)</f>
        <v>307000</v>
      </c>
      <c r="S62" s="379"/>
      <c r="T62" s="379">
        <f>SUM(R62:S62)</f>
        <v>307000</v>
      </c>
      <c r="U62" s="379"/>
      <c r="V62" s="13">
        <f>SUM(T62:U62)</f>
        <v>307000</v>
      </c>
      <c r="W62" s="13"/>
      <c r="X62" s="13">
        <f>SUM(V62:W62)</f>
        <v>307000</v>
      </c>
      <c r="Y62" s="13"/>
      <c r="Z62" s="13">
        <f t="shared" si="17"/>
        <v>307000</v>
      </c>
      <c r="AA62" s="13"/>
      <c r="AB62" s="13">
        <f t="shared" si="18"/>
        <v>307000</v>
      </c>
      <c r="AC62" s="13"/>
      <c r="AD62" s="13">
        <f t="shared" si="19"/>
        <v>307000</v>
      </c>
      <c r="AE62" s="13"/>
      <c r="AF62" s="13">
        <f t="shared" si="20"/>
        <v>307000</v>
      </c>
      <c r="AG62" s="13"/>
      <c r="AH62" s="13">
        <f t="shared" si="21"/>
        <v>307000</v>
      </c>
      <c r="AI62" s="13">
        <v>0</v>
      </c>
      <c r="AJ62" s="13"/>
      <c r="AK62" s="13">
        <f t="shared" si="22"/>
        <v>0</v>
      </c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</row>
    <row r="63" spans="1:96" hidden="1">
      <c r="A63" s="47" t="s">
        <v>585</v>
      </c>
      <c r="B63" s="13"/>
      <c r="C63" s="379"/>
      <c r="D63" s="379"/>
      <c r="E63" s="379"/>
      <c r="F63" s="379"/>
      <c r="G63" s="379"/>
      <c r="H63" s="379"/>
      <c r="I63" s="379"/>
      <c r="J63" s="379"/>
      <c r="K63" s="379"/>
      <c r="L63" s="379"/>
      <c r="M63" s="379"/>
      <c r="N63" s="379"/>
      <c r="O63" s="379"/>
      <c r="P63" s="379"/>
      <c r="Q63" s="379"/>
      <c r="R63" s="379"/>
      <c r="S63" s="379"/>
      <c r="T63" s="379"/>
      <c r="U63" s="379"/>
      <c r="V63" s="13"/>
      <c r="W63" s="13">
        <v>140000</v>
      </c>
      <c r="X63" s="13">
        <f>SUM(V63:W63)</f>
        <v>140000</v>
      </c>
      <c r="Y63" s="13"/>
      <c r="Z63" s="13">
        <f t="shared" si="17"/>
        <v>140000</v>
      </c>
      <c r="AA63" s="13"/>
      <c r="AB63" s="13">
        <f t="shared" si="18"/>
        <v>140000</v>
      </c>
      <c r="AC63" s="13"/>
      <c r="AD63" s="13">
        <f t="shared" si="19"/>
        <v>140000</v>
      </c>
      <c r="AE63" s="13"/>
      <c r="AF63" s="13">
        <f t="shared" si="20"/>
        <v>140000</v>
      </c>
      <c r="AG63" s="13"/>
      <c r="AH63" s="13">
        <f t="shared" si="21"/>
        <v>140000</v>
      </c>
      <c r="AI63" s="13">
        <v>0</v>
      </c>
      <c r="AJ63" s="13"/>
      <c r="AK63" s="13">
        <f t="shared" si="22"/>
        <v>0</v>
      </c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</row>
    <row r="64" spans="1:96" ht="25.5" hidden="1">
      <c r="A64" s="416" t="s">
        <v>586</v>
      </c>
      <c r="B64" s="13"/>
      <c r="C64" s="379"/>
      <c r="D64" s="379"/>
      <c r="E64" s="379"/>
      <c r="F64" s="379"/>
      <c r="G64" s="379"/>
      <c r="H64" s="379"/>
      <c r="I64" s="379"/>
      <c r="J64" s="379"/>
      <c r="K64" s="379"/>
      <c r="L64" s="379"/>
      <c r="M64" s="379"/>
      <c r="N64" s="379"/>
      <c r="O64" s="379"/>
      <c r="P64" s="379"/>
      <c r="Q64" s="379"/>
      <c r="R64" s="379"/>
      <c r="S64" s="379"/>
      <c r="T64" s="379"/>
      <c r="U64" s="379"/>
      <c r="V64" s="13"/>
      <c r="W64" s="13"/>
      <c r="X64" s="13"/>
      <c r="Y64" s="13">
        <v>8000</v>
      </c>
      <c r="Z64" s="13">
        <f>SUM(X64:Y64)</f>
        <v>8000</v>
      </c>
      <c r="AA64" s="13"/>
      <c r="AB64" s="13">
        <f t="shared" si="18"/>
        <v>8000</v>
      </c>
      <c r="AC64" s="13"/>
      <c r="AD64" s="13">
        <f t="shared" si="19"/>
        <v>8000</v>
      </c>
      <c r="AE64" s="13"/>
      <c r="AF64" s="13">
        <f t="shared" si="20"/>
        <v>8000</v>
      </c>
      <c r="AG64" s="13"/>
      <c r="AH64" s="13">
        <f t="shared" si="21"/>
        <v>8000</v>
      </c>
      <c r="AI64" s="13"/>
      <c r="AJ64" s="13"/>
      <c r="AK64" s="13">
        <f t="shared" si="22"/>
        <v>0</v>
      </c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</row>
    <row r="65" spans="1:60" hidden="1">
      <c r="A65" s="416" t="s">
        <v>587</v>
      </c>
      <c r="B65" s="13"/>
      <c r="C65" s="379"/>
      <c r="D65" s="379"/>
      <c r="E65" s="379"/>
      <c r="F65" s="379"/>
      <c r="G65" s="379"/>
      <c r="H65" s="379"/>
      <c r="I65" s="379"/>
      <c r="J65" s="379"/>
      <c r="K65" s="379"/>
      <c r="L65" s="379"/>
      <c r="M65" s="379"/>
      <c r="N65" s="379"/>
      <c r="O65" s="379"/>
      <c r="P65" s="379"/>
      <c r="Q65" s="379"/>
      <c r="R65" s="379"/>
      <c r="S65" s="379"/>
      <c r="T65" s="379"/>
      <c r="U65" s="379"/>
      <c r="V65" s="13"/>
      <c r="W65" s="13"/>
      <c r="X65" s="13"/>
      <c r="Y65" s="13">
        <v>500</v>
      </c>
      <c r="Z65" s="13">
        <f>SUM(X65:Y65)</f>
        <v>500</v>
      </c>
      <c r="AA65" s="13"/>
      <c r="AB65" s="13">
        <f t="shared" si="18"/>
        <v>500</v>
      </c>
      <c r="AC65" s="13"/>
      <c r="AD65" s="13">
        <f t="shared" si="19"/>
        <v>500</v>
      </c>
      <c r="AE65" s="13"/>
      <c r="AF65" s="13">
        <f t="shared" si="20"/>
        <v>500</v>
      </c>
      <c r="AG65" s="13"/>
      <c r="AH65" s="13">
        <f t="shared" si="21"/>
        <v>500</v>
      </c>
      <c r="AI65" s="13"/>
      <c r="AJ65" s="13"/>
      <c r="AK65" s="13">
        <f t="shared" si="22"/>
        <v>0</v>
      </c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</row>
    <row r="66" spans="1:60">
      <c r="A66" s="416" t="s">
        <v>808</v>
      </c>
      <c r="B66" s="13"/>
      <c r="C66" s="379"/>
      <c r="D66" s="379"/>
      <c r="E66" s="379"/>
      <c r="F66" s="379"/>
      <c r="G66" s="379"/>
      <c r="H66" s="379"/>
      <c r="I66" s="379"/>
      <c r="J66" s="379"/>
      <c r="K66" s="379"/>
      <c r="L66" s="379"/>
      <c r="M66" s="379"/>
      <c r="N66" s="379"/>
      <c r="O66" s="379"/>
      <c r="P66" s="379"/>
      <c r="Q66" s="379"/>
      <c r="R66" s="379"/>
      <c r="S66" s="379"/>
      <c r="T66" s="379"/>
      <c r="U66" s="379"/>
      <c r="V66" s="13"/>
      <c r="W66" s="13"/>
      <c r="X66" s="13"/>
      <c r="Y66" s="13">
        <v>108387</v>
      </c>
      <c r="Z66" s="13">
        <f>SUM(X66:Y66)</f>
        <v>108387</v>
      </c>
      <c r="AA66" s="13"/>
      <c r="AB66" s="13">
        <f t="shared" si="18"/>
        <v>108387</v>
      </c>
      <c r="AC66" s="13"/>
      <c r="AD66" s="13">
        <f t="shared" si="19"/>
        <v>108387</v>
      </c>
      <c r="AE66" s="13"/>
      <c r="AF66" s="13">
        <f t="shared" si="20"/>
        <v>108387</v>
      </c>
      <c r="AG66" s="13"/>
      <c r="AH66" s="13">
        <f t="shared" si="21"/>
        <v>108387</v>
      </c>
      <c r="AI66" s="13">
        <v>108387</v>
      </c>
      <c r="AJ66" s="13">
        <v>511</v>
      </c>
      <c r="AK66" s="13">
        <f t="shared" si="22"/>
        <v>108898</v>
      </c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  <c r="BF66" s="18"/>
      <c r="BG66" s="18"/>
      <c r="BH66" s="18"/>
    </row>
    <row r="67" spans="1:60">
      <c r="A67" s="416" t="s">
        <v>809</v>
      </c>
      <c r="B67" s="13"/>
      <c r="C67" s="379"/>
      <c r="D67" s="379"/>
      <c r="E67" s="379"/>
      <c r="F67" s="379"/>
      <c r="G67" s="379"/>
      <c r="H67" s="379"/>
      <c r="I67" s="379"/>
      <c r="J67" s="379"/>
      <c r="K67" s="379"/>
      <c r="L67" s="379"/>
      <c r="M67" s="379"/>
      <c r="N67" s="379"/>
      <c r="O67" s="379"/>
      <c r="P67" s="379"/>
      <c r="Q67" s="379"/>
      <c r="R67" s="379"/>
      <c r="S67" s="379"/>
      <c r="T67" s="379"/>
      <c r="U67" s="379"/>
      <c r="V67" s="13"/>
      <c r="W67" s="13"/>
      <c r="X67" s="13"/>
      <c r="Y67" s="13"/>
      <c r="Z67" s="13"/>
      <c r="AA67" s="13"/>
      <c r="AB67" s="13"/>
      <c r="AC67" s="13">
        <v>369000</v>
      </c>
      <c r="AD67" s="13">
        <f t="shared" si="19"/>
        <v>369000</v>
      </c>
      <c r="AE67" s="13"/>
      <c r="AF67" s="13">
        <f t="shared" si="20"/>
        <v>369000</v>
      </c>
      <c r="AG67" s="13"/>
      <c r="AH67" s="13">
        <f t="shared" si="21"/>
        <v>369000</v>
      </c>
      <c r="AI67" s="13">
        <v>354978</v>
      </c>
      <c r="AJ67" s="13"/>
      <c r="AK67" s="13">
        <f t="shared" si="22"/>
        <v>354978</v>
      </c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</row>
    <row r="68" spans="1:60" s="1" customFormat="1">
      <c r="A68" s="10" t="s">
        <v>45</v>
      </c>
      <c r="B68" s="20">
        <f t="shared" ref="B68:AK68" si="70">B69+B72+B74+B81</f>
        <v>0</v>
      </c>
      <c r="C68" s="20">
        <f t="shared" si="70"/>
        <v>0</v>
      </c>
      <c r="D68" s="20">
        <f t="shared" si="70"/>
        <v>0</v>
      </c>
      <c r="E68" s="20">
        <f t="shared" si="70"/>
        <v>0</v>
      </c>
      <c r="F68" s="20">
        <f t="shared" si="70"/>
        <v>0</v>
      </c>
      <c r="G68" s="20">
        <f t="shared" si="70"/>
        <v>0</v>
      </c>
      <c r="H68" s="20">
        <f t="shared" si="70"/>
        <v>0</v>
      </c>
      <c r="I68" s="20">
        <f t="shared" si="70"/>
        <v>0</v>
      </c>
      <c r="J68" s="20">
        <f t="shared" si="70"/>
        <v>0</v>
      </c>
      <c r="K68" s="20">
        <f t="shared" si="70"/>
        <v>0</v>
      </c>
      <c r="L68" s="20">
        <f t="shared" si="70"/>
        <v>0</v>
      </c>
      <c r="M68" s="20">
        <f t="shared" si="70"/>
        <v>0</v>
      </c>
      <c r="N68" s="20">
        <f t="shared" si="70"/>
        <v>101101</v>
      </c>
      <c r="O68" s="20">
        <f t="shared" si="70"/>
        <v>1659166</v>
      </c>
      <c r="P68" s="20">
        <f t="shared" si="70"/>
        <v>2050415</v>
      </c>
      <c r="Q68" s="20">
        <f t="shared" si="70"/>
        <v>0</v>
      </c>
      <c r="R68" s="20">
        <f t="shared" si="70"/>
        <v>2050415</v>
      </c>
      <c r="S68" s="20">
        <f t="shared" si="70"/>
        <v>0</v>
      </c>
      <c r="T68" s="20">
        <f t="shared" si="70"/>
        <v>2050415</v>
      </c>
      <c r="U68" s="20">
        <f t="shared" si="70"/>
        <v>0</v>
      </c>
      <c r="V68" s="20">
        <f t="shared" si="70"/>
        <v>2050415</v>
      </c>
      <c r="W68" s="20">
        <f t="shared" si="70"/>
        <v>0</v>
      </c>
      <c r="X68" s="20">
        <f t="shared" si="70"/>
        <v>2050415</v>
      </c>
      <c r="Y68" s="20">
        <f t="shared" si="70"/>
        <v>0</v>
      </c>
      <c r="Z68" s="20">
        <f t="shared" si="70"/>
        <v>2050415</v>
      </c>
      <c r="AA68" s="20">
        <f t="shared" si="70"/>
        <v>0</v>
      </c>
      <c r="AB68" s="20">
        <f t="shared" si="70"/>
        <v>2050415</v>
      </c>
      <c r="AC68" s="20">
        <f t="shared" si="70"/>
        <v>0</v>
      </c>
      <c r="AD68" s="20">
        <f t="shared" si="70"/>
        <v>2050415</v>
      </c>
      <c r="AE68" s="20">
        <f t="shared" si="70"/>
        <v>0</v>
      </c>
      <c r="AF68" s="20">
        <f t="shared" si="70"/>
        <v>2050415</v>
      </c>
      <c r="AG68" s="20">
        <f t="shared" si="70"/>
        <v>31700</v>
      </c>
      <c r="AH68" s="20">
        <f t="shared" si="70"/>
        <v>2082115</v>
      </c>
      <c r="AI68" s="20">
        <f t="shared" si="70"/>
        <v>2124850</v>
      </c>
      <c r="AJ68" s="20">
        <f t="shared" si="70"/>
        <v>0</v>
      </c>
      <c r="AK68" s="20">
        <f t="shared" si="70"/>
        <v>2124850</v>
      </c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  <c r="BA68" s="12"/>
      <c r="BB68" s="12"/>
      <c r="BC68" s="12"/>
      <c r="BD68" s="12"/>
      <c r="BE68" s="12"/>
      <c r="BF68" s="12"/>
      <c r="BG68" s="12"/>
      <c r="BH68" s="12"/>
    </row>
    <row r="69" spans="1:60">
      <c r="A69" s="12" t="s">
        <v>46</v>
      </c>
      <c r="B69" s="13">
        <f t="shared" ref="B69:M70" si="71">B70</f>
        <v>0</v>
      </c>
      <c r="C69" s="13">
        <f t="shared" si="71"/>
        <v>0</v>
      </c>
      <c r="D69" s="13">
        <f t="shared" si="71"/>
        <v>0</v>
      </c>
      <c r="E69" s="13">
        <f t="shared" si="71"/>
        <v>0</v>
      </c>
      <c r="F69" s="13">
        <f t="shared" si="71"/>
        <v>0</v>
      </c>
      <c r="G69" s="13">
        <f t="shared" si="71"/>
        <v>0</v>
      </c>
      <c r="H69" s="13">
        <f t="shared" si="71"/>
        <v>0</v>
      </c>
      <c r="I69" s="13">
        <f t="shared" si="71"/>
        <v>0</v>
      </c>
      <c r="J69" s="13">
        <f t="shared" si="71"/>
        <v>0</v>
      </c>
      <c r="K69" s="13">
        <f t="shared" si="71"/>
        <v>0</v>
      </c>
      <c r="L69" s="13">
        <f t="shared" si="71"/>
        <v>0</v>
      </c>
      <c r="M69" s="13">
        <f t="shared" si="71"/>
        <v>0</v>
      </c>
      <c r="N69" s="13">
        <f t="shared" ref="N69:AC70" si="72">N70</f>
        <v>0</v>
      </c>
      <c r="O69" s="13">
        <f t="shared" si="72"/>
        <v>0</v>
      </c>
      <c r="P69" s="13">
        <f t="shared" si="72"/>
        <v>30</v>
      </c>
      <c r="Q69" s="13">
        <f t="shared" si="72"/>
        <v>0</v>
      </c>
      <c r="R69" s="13">
        <f t="shared" si="72"/>
        <v>30</v>
      </c>
      <c r="S69" s="13">
        <f t="shared" si="72"/>
        <v>0</v>
      </c>
      <c r="T69" s="13">
        <f t="shared" si="72"/>
        <v>30</v>
      </c>
      <c r="U69" s="13">
        <f t="shared" si="72"/>
        <v>0</v>
      </c>
      <c r="V69" s="13">
        <f t="shared" si="72"/>
        <v>30</v>
      </c>
      <c r="W69" s="13">
        <f t="shared" si="72"/>
        <v>0</v>
      </c>
      <c r="X69" s="13">
        <f t="shared" si="72"/>
        <v>30</v>
      </c>
      <c r="Y69" s="13">
        <f t="shared" si="72"/>
        <v>0</v>
      </c>
      <c r="Z69" s="13">
        <f t="shared" si="72"/>
        <v>30</v>
      </c>
      <c r="AA69" s="13">
        <f t="shared" si="72"/>
        <v>0</v>
      </c>
      <c r="AB69" s="13">
        <f t="shared" si="72"/>
        <v>30</v>
      </c>
      <c r="AC69" s="13">
        <f t="shared" si="72"/>
        <v>0</v>
      </c>
      <c r="AD69" s="13">
        <f t="shared" ref="AD69:AK70" si="73">AD70</f>
        <v>30</v>
      </c>
      <c r="AE69" s="13">
        <f t="shared" si="73"/>
        <v>0</v>
      </c>
      <c r="AF69" s="13">
        <f t="shared" si="73"/>
        <v>30</v>
      </c>
      <c r="AG69" s="13">
        <f t="shared" si="73"/>
        <v>0</v>
      </c>
      <c r="AH69" s="13">
        <f t="shared" si="73"/>
        <v>30</v>
      </c>
      <c r="AI69" s="13">
        <f t="shared" si="73"/>
        <v>30</v>
      </c>
      <c r="AJ69" s="13">
        <f t="shared" si="73"/>
        <v>0</v>
      </c>
      <c r="AK69" s="13">
        <f t="shared" si="73"/>
        <v>30</v>
      </c>
      <c r="AL69" s="12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  <c r="BG69" s="18"/>
      <c r="BH69" s="18"/>
    </row>
    <row r="70" spans="1:60">
      <c r="A70" s="12" t="s">
        <v>47</v>
      </c>
      <c r="B70" s="13">
        <f t="shared" si="71"/>
        <v>0</v>
      </c>
      <c r="C70" s="13">
        <f t="shared" si="71"/>
        <v>0</v>
      </c>
      <c r="D70" s="13">
        <f t="shared" si="71"/>
        <v>0</v>
      </c>
      <c r="E70" s="13">
        <f t="shared" si="71"/>
        <v>0</v>
      </c>
      <c r="F70" s="13">
        <f t="shared" si="71"/>
        <v>0</v>
      </c>
      <c r="G70" s="13">
        <f t="shared" si="71"/>
        <v>0</v>
      </c>
      <c r="H70" s="13">
        <f t="shared" si="71"/>
        <v>0</v>
      </c>
      <c r="I70" s="13">
        <f t="shared" si="71"/>
        <v>0</v>
      </c>
      <c r="J70" s="13">
        <f t="shared" si="71"/>
        <v>0</v>
      </c>
      <c r="K70" s="13">
        <f t="shared" si="71"/>
        <v>0</v>
      </c>
      <c r="L70" s="13">
        <f t="shared" si="71"/>
        <v>0</v>
      </c>
      <c r="M70" s="13">
        <f t="shared" si="71"/>
        <v>0</v>
      </c>
      <c r="N70" s="13">
        <f t="shared" si="72"/>
        <v>0</v>
      </c>
      <c r="O70" s="13">
        <f t="shared" si="72"/>
        <v>0</v>
      </c>
      <c r="P70" s="13">
        <f t="shared" si="72"/>
        <v>30</v>
      </c>
      <c r="Q70" s="13">
        <f t="shared" si="72"/>
        <v>0</v>
      </c>
      <c r="R70" s="13">
        <f t="shared" si="72"/>
        <v>30</v>
      </c>
      <c r="S70" s="13">
        <f t="shared" si="72"/>
        <v>0</v>
      </c>
      <c r="T70" s="13">
        <f t="shared" si="72"/>
        <v>30</v>
      </c>
      <c r="U70" s="13">
        <f t="shared" si="72"/>
        <v>0</v>
      </c>
      <c r="V70" s="13">
        <f t="shared" si="72"/>
        <v>30</v>
      </c>
      <c r="W70" s="13">
        <f t="shared" si="72"/>
        <v>0</v>
      </c>
      <c r="X70" s="13">
        <f t="shared" si="72"/>
        <v>30</v>
      </c>
      <c r="Y70" s="13">
        <f t="shared" si="72"/>
        <v>0</v>
      </c>
      <c r="Z70" s="13">
        <f t="shared" si="72"/>
        <v>30</v>
      </c>
      <c r="AA70" s="13">
        <f t="shared" si="72"/>
        <v>0</v>
      </c>
      <c r="AB70" s="13">
        <f t="shared" si="72"/>
        <v>30</v>
      </c>
      <c r="AC70" s="13">
        <f t="shared" si="72"/>
        <v>0</v>
      </c>
      <c r="AD70" s="13">
        <f t="shared" si="73"/>
        <v>30</v>
      </c>
      <c r="AE70" s="13">
        <f t="shared" si="73"/>
        <v>0</v>
      </c>
      <c r="AF70" s="13">
        <f t="shared" si="73"/>
        <v>30</v>
      </c>
      <c r="AG70" s="13">
        <f t="shared" si="73"/>
        <v>0</v>
      </c>
      <c r="AH70" s="13">
        <f t="shared" si="73"/>
        <v>30</v>
      </c>
      <c r="AI70" s="13">
        <f t="shared" si="73"/>
        <v>30</v>
      </c>
      <c r="AJ70" s="13">
        <f t="shared" si="73"/>
        <v>0</v>
      </c>
      <c r="AK70" s="13">
        <f t="shared" si="73"/>
        <v>30</v>
      </c>
      <c r="AL70" s="12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  <c r="BG70" s="18"/>
      <c r="BH70" s="18"/>
    </row>
    <row r="71" spans="1:60">
      <c r="A71" s="12" t="s">
        <v>48</v>
      </c>
      <c r="B71" s="13"/>
      <c r="C71" s="379">
        <f>SUM(B71:B71)</f>
        <v>0</v>
      </c>
      <c r="D71" s="379"/>
      <c r="E71" s="379">
        <f>SUM(C71:D71)</f>
        <v>0</v>
      </c>
      <c r="F71" s="379"/>
      <c r="G71" s="379">
        <f>SUM(E71:F71)</f>
        <v>0</v>
      </c>
      <c r="H71" s="379"/>
      <c r="I71" s="379">
        <f>SUM(G71:H71)</f>
        <v>0</v>
      </c>
      <c r="J71" s="379"/>
      <c r="K71" s="379">
        <f>SUM(I71:J71)</f>
        <v>0</v>
      </c>
      <c r="L71" s="379"/>
      <c r="M71" s="379">
        <f>SUM(K71:L71)</f>
        <v>0</v>
      </c>
      <c r="N71" s="379"/>
      <c r="O71" s="379">
        <f>SUM(M71:N71)</f>
        <v>0</v>
      </c>
      <c r="P71" s="379">
        <v>30</v>
      </c>
      <c r="Q71" s="379"/>
      <c r="R71" s="379">
        <f>SUM(P71:Q71)</f>
        <v>30</v>
      </c>
      <c r="S71" s="379"/>
      <c r="T71" s="379">
        <f t="shared" si="16"/>
        <v>30</v>
      </c>
      <c r="U71" s="379"/>
      <c r="V71" s="13">
        <f t="shared" ref="V71:V127" si="74">SUM(T71:U71)</f>
        <v>30</v>
      </c>
      <c r="W71" s="13"/>
      <c r="X71" s="13">
        <f t="shared" si="8"/>
        <v>30</v>
      </c>
      <c r="Y71" s="13"/>
      <c r="Z71" s="13">
        <f t="shared" si="17"/>
        <v>30</v>
      </c>
      <c r="AA71" s="13"/>
      <c r="AB71" s="13">
        <f t="shared" si="18"/>
        <v>30</v>
      </c>
      <c r="AC71" s="13"/>
      <c r="AD71" s="13">
        <f t="shared" si="19"/>
        <v>30</v>
      </c>
      <c r="AE71" s="13"/>
      <c r="AF71" s="13">
        <f t="shared" si="20"/>
        <v>30</v>
      </c>
      <c r="AG71" s="13"/>
      <c r="AH71" s="13">
        <f t="shared" si="21"/>
        <v>30</v>
      </c>
      <c r="AI71" s="13">
        <v>30</v>
      </c>
      <c r="AJ71" s="13"/>
      <c r="AK71" s="13">
        <f t="shared" si="22"/>
        <v>30</v>
      </c>
      <c r="AL71" s="12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  <c r="BG71" s="18"/>
      <c r="BH71" s="18"/>
    </row>
    <row r="72" spans="1:60">
      <c r="A72" s="12" t="s">
        <v>49</v>
      </c>
      <c r="B72" s="13">
        <f t="shared" ref="B72:AK72" si="75">B73</f>
        <v>0</v>
      </c>
      <c r="C72" s="13">
        <f t="shared" si="75"/>
        <v>0</v>
      </c>
      <c r="D72" s="13">
        <f t="shared" si="75"/>
        <v>0</v>
      </c>
      <c r="E72" s="13">
        <f t="shared" si="75"/>
        <v>0</v>
      </c>
      <c r="F72" s="13">
        <f t="shared" si="75"/>
        <v>0</v>
      </c>
      <c r="G72" s="13">
        <f t="shared" si="75"/>
        <v>0</v>
      </c>
      <c r="H72" s="13">
        <f t="shared" si="75"/>
        <v>0</v>
      </c>
      <c r="I72" s="13">
        <f t="shared" si="75"/>
        <v>0</v>
      </c>
      <c r="J72" s="13">
        <f t="shared" si="75"/>
        <v>0</v>
      </c>
      <c r="K72" s="13">
        <f t="shared" si="75"/>
        <v>0</v>
      </c>
      <c r="L72" s="13">
        <f t="shared" si="75"/>
        <v>0</v>
      </c>
      <c r="M72" s="13">
        <f t="shared" si="75"/>
        <v>0</v>
      </c>
      <c r="N72" s="13">
        <f t="shared" si="75"/>
        <v>0</v>
      </c>
      <c r="O72" s="13">
        <f t="shared" si="75"/>
        <v>0</v>
      </c>
      <c r="P72" s="13">
        <f t="shared" si="75"/>
        <v>250000</v>
      </c>
      <c r="Q72" s="13">
        <f t="shared" si="75"/>
        <v>0</v>
      </c>
      <c r="R72" s="13">
        <f t="shared" si="75"/>
        <v>250000</v>
      </c>
      <c r="S72" s="13">
        <f t="shared" si="75"/>
        <v>0</v>
      </c>
      <c r="T72" s="13">
        <f t="shared" si="75"/>
        <v>250000</v>
      </c>
      <c r="U72" s="13">
        <f t="shared" si="75"/>
        <v>0</v>
      </c>
      <c r="V72" s="13">
        <f t="shared" si="75"/>
        <v>250000</v>
      </c>
      <c r="W72" s="13">
        <f t="shared" si="75"/>
        <v>0</v>
      </c>
      <c r="X72" s="13">
        <f t="shared" si="75"/>
        <v>250000</v>
      </c>
      <c r="Y72" s="13">
        <f t="shared" si="75"/>
        <v>0</v>
      </c>
      <c r="Z72" s="13">
        <f t="shared" si="75"/>
        <v>250000</v>
      </c>
      <c r="AA72" s="13">
        <f t="shared" si="75"/>
        <v>0</v>
      </c>
      <c r="AB72" s="13">
        <f t="shared" si="75"/>
        <v>250000</v>
      </c>
      <c r="AC72" s="13">
        <f t="shared" si="75"/>
        <v>0</v>
      </c>
      <c r="AD72" s="13">
        <f t="shared" si="75"/>
        <v>250000</v>
      </c>
      <c r="AE72" s="13">
        <f t="shared" si="75"/>
        <v>0</v>
      </c>
      <c r="AF72" s="13">
        <f t="shared" si="75"/>
        <v>250000</v>
      </c>
      <c r="AG72" s="13">
        <f t="shared" si="75"/>
        <v>27044</v>
      </c>
      <c r="AH72" s="13">
        <f t="shared" si="75"/>
        <v>277044</v>
      </c>
      <c r="AI72" s="13">
        <f t="shared" si="75"/>
        <v>275000</v>
      </c>
      <c r="AJ72" s="13">
        <f t="shared" si="75"/>
        <v>0</v>
      </c>
      <c r="AK72" s="13">
        <f t="shared" si="75"/>
        <v>275000</v>
      </c>
      <c r="AL72" s="12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  <c r="BG72" s="18"/>
      <c r="BH72" s="18"/>
    </row>
    <row r="73" spans="1:60">
      <c r="A73" s="12" t="s">
        <v>50</v>
      </c>
      <c r="B73" s="13"/>
      <c r="C73" s="379">
        <f>SUM(B73:B73)</f>
        <v>0</v>
      </c>
      <c r="D73" s="379"/>
      <c r="E73" s="379">
        <f>SUM(C73:D73)</f>
        <v>0</v>
      </c>
      <c r="F73" s="379"/>
      <c r="G73" s="379">
        <f>SUM(E73:F73)</f>
        <v>0</v>
      </c>
      <c r="H73" s="379"/>
      <c r="I73" s="379">
        <f>SUM(G73:H73)</f>
        <v>0</v>
      </c>
      <c r="J73" s="379"/>
      <c r="K73" s="379">
        <f>SUM(I73:J73)</f>
        <v>0</v>
      </c>
      <c r="L73" s="379"/>
      <c r="M73" s="379">
        <f>SUM(K73:L73)</f>
        <v>0</v>
      </c>
      <c r="N73" s="379"/>
      <c r="O73" s="379">
        <f>SUM(M73:N73)</f>
        <v>0</v>
      </c>
      <c r="P73" s="379">
        <v>250000</v>
      </c>
      <c r="Q73" s="379"/>
      <c r="R73" s="379">
        <f>SUM(P73:Q73)</f>
        <v>250000</v>
      </c>
      <c r="S73" s="379"/>
      <c r="T73" s="379">
        <f t="shared" si="16"/>
        <v>250000</v>
      </c>
      <c r="U73" s="379"/>
      <c r="V73" s="13">
        <f t="shared" si="74"/>
        <v>250000</v>
      </c>
      <c r="W73" s="13"/>
      <c r="X73" s="13">
        <f t="shared" si="8"/>
        <v>250000</v>
      </c>
      <c r="Y73" s="13"/>
      <c r="Z73" s="13">
        <f t="shared" si="17"/>
        <v>250000</v>
      </c>
      <c r="AA73" s="13"/>
      <c r="AB73" s="13">
        <f t="shared" si="18"/>
        <v>250000</v>
      </c>
      <c r="AC73" s="13"/>
      <c r="AD73" s="13">
        <f t="shared" si="19"/>
        <v>250000</v>
      </c>
      <c r="AE73" s="13"/>
      <c r="AF73" s="13">
        <f t="shared" si="20"/>
        <v>250000</v>
      </c>
      <c r="AG73" s="13">
        <v>27044</v>
      </c>
      <c r="AH73" s="13">
        <f t="shared" si="21"/>
        <v>277044</v>
      </c>
      <c r="AI73" s="13">
        <f>245000+20000+10000</f>
        <v>275000</v>
      </c>
      <c r="AJ73" s="13"/>
      <c r="AK73" s="13">
        <f t="shared" si="22"/>
        <v>275000</v>
      </c>
      <c r="AL73" s="12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  <c r="BG73" s="18"/>
      <c r="BH73" s="18"/>
    </row>
    <row r="74" spans="1:60">
      <c r="A74" s="12" t="s">
        <v>51</v>
      </c>
      <c r="B74" s="13">
        <f t="shared" ref="B74:AK74" si="76">B75+B78+B79</f>
        <v>0</v>
      </c>
      <c r="C74" s="13">
        <f t="shared" si="76"/>
        <v>0</v>
      </c>
      <c r="D74" s="13">
        <f t="shared" si="76"/>
        <v>0</v>
      </c>
      <c r="E74" s="13">
        <f t="shared" si="76"/>
        <v>0</v>
      </c>
      <c r="F74" s="13">
        <f t="shared" si="76"/>
        <v>0</v>
      </c>
      <c r="G74" s="13">
        <f t="shared" si="76"/>
        <v>0</v>
      </c>
      <c r="H74" s="13">
        <f t="shared" si="76"/>
        <v>0</v>
      </c>
      <c r="I74" s="13">
        <f t="shared" si="76"/>
        <v>0</v>
      </c>
      <c r="J74" s="13">
        <f t="shared" si="76"/>
        <v>0</v>
      </c>
      <c r="K74" s="13">
        <f t="shared" si="76"/>
        <v>0</v>
      </c>
      <c r="L74" s="13">
        <f t="shared" si="76"/>
        <v>0</v>
      </c>
      <c r="M74" s="13">
        <f>M75+M78+M79</f>
        <v>0</v>
      </c>
      <c r="N74" s="13">
        <f t="shared" si="76"/>
        <v>101101</v>
      </c>
      <c r="O74" s="13">
        <f t="shared" si="76"/>
        <v>1659166</v>
      </c>
      <c r="P74" s="13">
        <f t="shared" si="76"/>
        <v>1796120</v>
      </c>
      <c r="Q74" s="13">
        <f t="shared" si="76"/>
        <v>0</v>
      </c>
      <c r="R74" s="13">
        <f t="shared" si="76"/>
        <v>1796120</v>
      </c>
      <c r="S74" s="13">
        <f t="shared" si="76"/>
        <v>0</v>
      </c>
      <c r="T74" s="13">
        <f t="shared" si="76"/>
        <v>1796120</v>
      </c>
      <c r="U74" s="13">
        <f t="shared" si="76"/>
        <v>0</v>
      </c>
      <c r="V74" s="13">
        <f t="shared" si="76"/>
        <v>1796120</v>
      </c>
      <c r="W74" s="13">
        <f t="shared" si="76"/>
        <v>0</v>
      </c>
      <c r="X74" s="13">
        <f t="shared" si="76"/>
        <v>1796120</v>
      </c>
      <c r="Y74" s="13">
        <f t="shared" si="76"/>
        <v>0</v>
      </c>
      <c r="Z74" s="13">
        <f t="shared" si="76"/>
        <v>1796120</v>
      </c>
      <c r="AA74" s="13">
        <f t="shared" si="76"/>
        <v>0</v>
      </c>
      <c r="AB74" s="13">
        <f t="shared" si="76"/>
        <v>1796120</v>
      </c>
      <c r="AC74" s="13">
        <f t="shared" si="76"/>
        <v>0</v>
      </c>
      <c r="AD74" s="13">
        <f t="shared" si="76"/>
        <v>1796120</v>
      </c>
      <c r="AE74" s="13">
        <f t="shared" si="76"/>
        <v>0</v>
      </c>
      <c r="AF74" s="13">
        <f t="shared" si="76"/>
        <v>1796120</v>
      </c>
      <c r="AG74" s="13">
        <f t="shared" si="76"/>
        <v>0</v>
      </c>
      <c r="AH74" s="13">
        <f>AH75+AH78+AH79</f>
        <v>1796120</v>
      </c>
      <c r="AI74" s="13">
        <f t="shared" si="76"/>
        <v>1846000</v>
      </c>
      <c r="AJ74" s="13">
        <f t="shared" si="76"/>
        <v>0</v>
      </c>
      <c r="AK74" s="13">
        <f t="shared" si="76"/>
        <v>1846000</v>
      </c>
      <c r="AL74" s="12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  <c r="BG74" s="18"/>
      <c r="BH74" s="18"/>
    </row>
    <row r="75" spans="1:60">
      <c r="A75" s="12" t="s">
        <v>52</v>
      </c>
      <c r="B75" s="13">
        <f t="shared" ref="B75:AI75" si="77">B76+B77</f>
        <v>0</v>
      </c>
      <c r="C75" s="13">
        <f t="shared" si="77"/>
        <v>0</v>
      </c>
      <c r="D75" s="13">
        <f t="shared" si="77"/>
        <v>0</v>
      </c>
      <c r="E75" s="13">
        <f t="shared" si="77"/>
        <v>0</v>
      </c>
      <c r="F75" s="13">
        <f t="shared" si="77"/>
        <v>0</v>
      </c>
      <c r="G75" s="13">
        <f t="shared" si="77"/>
        <v>0</v>
      </c>
      <c r="H75" s="13">
        <f t="shared" si="77"/>
        <v>0</v>
      </c>
      <c r="I75" s="13">
        <f t="shared" si="77"/>
        <v>0</v>
      </c>
      <c r="J75" s="13">
        <f t="shared" si="77"/>
        <v>0</v>
      </c>
      <c r="K75" s="13">
        <f t="shared" si="77"/>
        <v>0</v>
      </c>
      <c r="L75" s="13">
        <f t="shared" si="77"/>
        <v>0</v>
      </c>
      <c r="M75" s="13">
        <f t="shared" si="77"/>
        <v>0</v>
      </c>
      <c r="N75" s="13">
        <f t="shared" si="77"/>
        <v>101101</v>
      </c>
      <c r="O75" s="13">
        <v>1659166</v>
      </c>
      <c r="P75" s="13">
        <f t="shared" si="77"/>
        <v>1700000</v>
      </c>
      <c r="Q75" s="13">
        <f t="shared" si="77"/>
        <v>0</v>
      </c>
      <c r="R75" s="13">
        <f t="shared" si="77"/>
        <v>1700000</v>
      </c>
      <c r="S75" s="13">
        <f t="shared" si="77"/>
        <v>0</v>
      </c>
      <c r="T75" s="13">
        <f t="shared" si="77"/>
        <v>1700000</v>
      </c>
      <c r="U75" s="13">
        <f t="shared" si="77"/>
        <v>0</v>
      </c>
      <c r="V75" s="13">
        <f t="shared" si="77"/>
        <v>1700000</v>
      </c>
      <c r="W75" s="13">
        <f t="shared" si="77"/>
        <v>0</v>
      </c>
      <c r="X75" s="13">
        <f t="shared" si="77"/>
        <v>1700000</v>
      </c>
      <c r="Y75" s="13">
        <f t="shared" si="77"/>
        <v>0</v>
      </c>
      <c r="Z75" s="13">
        <f t="shared" si="77"/>
        <v>1700000</v>
      </c>
      <c r="AA75" s="13">
        <f t="shared" si="77"/>
        <v>0</v>
      </c>
      <c r="AB75" s="13">
        <f t="shared" si="77"/>
        <v>1700000</v>
      </c>
      <c r="AC75" s="13">
        <f t="shared" si="77"/>
        <v>0</v>
      </c>
      <c r="AD75" s="13">
        <f t="shared" si="77"/>
        <v>1700000</v>
      </c>
      <c r="AE75" s="13">
        <f t="shared" si="77"/>
        <v>0</v>
      </c>
      <c r="AF75" s="13">
        <f t="shared" si="77"/>
        <v>1700000</v>
      </c>
      <c r="AG75" s="13">
        <f t="shared" si="77"/>
        <v>0</v>
      </c>
      <c r="AH75" s="13">
        <f t="shared" si="77"/>
        <v>1700000</v>
      </c>
      <c r="AI75" s="13">
        <f t="shared" si="77"/>
        <v>1750000</v>
      </c>
      <c r="AJ75" s="13"/>
      <c r="AK75" s="13">
        <f t="shared" ref="AK75:AK127" si="78">SUM(AI75:AJ75)</f>
        <v>1750000</v>
      </c>
      <c r="AL75" s="12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</row>
    <row r="76" spans="1:60" ht="30">
      <c r="A76" s="12" t="s">
        <v>53</v>
      </c>
      <c r="B76" s="13"/>
      <c r="C76" s="379">
        <f>SUM(B76:B76)</f>
        <v>0</v>
      </c>
      <c r="D76" s="379"/>
      <c r="E76" s="379">
        <f>SUM(C76:D76)</f>
        <v>0</v>
      </c>
      <c r="F76" s="379"/>
      <c r="G76" s="379">
        <f>SUM(E76:F76)</f>
        <v>0</v>
      </c>
      <c r="H76" s="379"/>
      <c r="I76" s="379">
        <f>SUM(G76:H76)</f>
        <v>0</v>
      </c>
      <c r="J76" s="379"/>
      <c r="K76" s="379">
        <f>SUM(I76:J76)</f>
        <v>0</v>
      </c>
      <c r="L76" s="379"/>
      <c r="M76" s="379">
        <f>SUM(K76:L76)</f>
        <v>0</v>
      </c>
      <c r="N76" s="379">
        <v>101101</v>
      </c>
      <c r="O76" s="379">
        <f>SUM(M76:N76)</f>
        <v>101101</v>
      </c>
      <c r="P76" s="379">
        <v>1700000</v>
      </c>
      <c r="Q76" s="379"/>
      <c r="R76" s="379">
        <f t="shared" ref="R76:R80" si="79">SUM(P76:Q76)</f>
        <v>1700000</v>
      </c>
      <c r="S76" s="379"/>
      <c r="T76" s="379">
        <f t="shared" si="16"/>
        <v>1700000</v>
      </c>
      <c r="U76" s="379"/>
      <c r="V76" s="13">
        <f t="shared" si="74"/>
        <v>1700000</v>
      </c>
      <c r="W76" s="13"/>
      <c r="X76" s="13">
        <f t="shared" si="8"/>
        <v>1700000</v>
      </c>
      <c r="Y76" s="13"/>
      <c r="Z76" s="13">
        <f t="shared" si="17"/>
        <v>1700000</v>
      </c>
      <c r="AA76" s="13"/>
      <c r="AB76" s="13">
        <f t="shared" si="18"/>
        <v>1700000</v>
      </c>
      <c r="AC76" s="13"/>
      <c r="AD76" s="13">
        <f t="shared" si="19"/>
        <v>1700000</v>
      </c>
      <c r="AE76" s="13"/>
      <c r="AF76" s="13">
        <f t="shared" ref="AF76:AF127" si="80">SUM(AD76:AE76)</f>
        <v>1700000</v>
      </c>
      <c r="AG76" s="13"/>
      <c r="AH76" s="13">
        <f t="shared" ref="AH76:AH125" si="81">SUM(AF76:AG76)</f>
        <v>1700000</v>
      </c>
      <c r="AI76" s="13">
        <f>1551000+149000+50000</f>
        <v>1750000</v>
      </c>
      <c r="AJ76" s="13"/>
      <c r="AK76" s="13">
        <f t="shared" si="78"/>
        <v>1750000</v>
      </c>
      <c r="AL76" s="12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  <c r="BG76" s="18"/>
      <c r="BH76" s="18"/>
    </row>
    <row r="77" spans="1:60" ht="30">
      <c r="A77" s="12" t="s">
        <v>566</v>
      </c>
      <c r="B77" s="13"/>
      <c r="C77" s="379">
        <f>SUM(B77:B77)</f>
        <v>0</v>
      </c>
      <c r="D77" s="379"/>
      <c r="E77" s="379">
        <f>SUM(C77:D77)</f>
        <v>0</v>
      </c>
      <c r="F77" s="379"/>
      <c r="G77" s="379">
        <f>SUM(E77:F77)</f>
        <v>0</v>
      </c>
      <c r="H77" s="379"/>
      <c r="I77" s="379">
        <f>SUM(G77:H77)</f>
        <v>0</v>
      </c>
      <c r="J77" s="379"/>
      <c r="K77" s="379">
        <f>SUM(I77:J77)</f>
        <v>0</v>
      </c>
      <c r="L77" s="379"/>
      <c r="M77" s="379">
        <f t="shared" ref="M77:M127" si="82">SUM(K77:L77)</f>
        <v>0</v>
      </c>
      <c r="N77" s="379"/>
      <c r="O77" s="379">
        <f>SUM(M77:N77)</f>
        <v>0</v>
      </c>
      <c r="P77" s="379"/>
      <c r="Q77" s="379"/>
      <c r="R77" s="379">
        <f t="shared" si="79"/>
        <v>0</v>
      </c>
      <c r="S77" s="379"/>
      <c r="T77" s="379">
        <f t="shared" si="16"/>
        <v>0</v>
      </c>
      <c r="U77" s="379"/>
      <c r="V77" s="13">
        <f t="shared" si="74"/>
        <v>0</v>
      </c>
      <c r="W77" s="13"/>
      <c r="X77" s="13">
        <f t="shared" si="8"/>
        <v>0</v>
      </c>
      <c r="Y77" s="13"/>
      <c r="Z77" s="13">
        <f t="shared" si="17"/>
        <v>0</v>
      </c>
      <c r="AA77" s="13"/>
      <c r="AB77" s="13">
        <f t="shared" si="18"/>
        <v>0</v>
      </c>
      <c r="AC77" s="13"/>
      <c r="AD77" s="13">
        <f t="shared" si="19"/>
        <v>0</v>
      </c>
      <c r="AE77" s="13"/>
      <c r="AF77" s="13">
        <f t="shared" si="80"/>
        <v>0</v>
      </c>
      <c r="AG77" s="13"/>
      <c r="AH77" s="13">
        <f t="shared" si="81"/>
        <v>0</v>
      </c>
      <c r="AI77" s="13"/>
      <c r="AJ77" s="13"/>
      <c r="AK77" s="13">
        <f t="shared" si="78"/>
        <v>0</v>
      </c>
      <c r="AL77" s="12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  <c r="BG77" s="18"/>
      <c r="BH77" s="18"/>
    </row>
    <row r="78" spans="1:60">
      <c r="A78" s="12" t="s">
        <v>54</v>
      </c>
      <c r="B78" s="13"/>
      <c r="C78" s="379">
        <f>SUM(B78:B78)</f>
        <v>0</v>
      </c>
      <c r="D78" s="379"/>
      <c r="E78" s="379">
        <f>SUM(C78:D78)</f>
        <v>0</v>
      </c>
      <c r="F78" s="379"/>
      <c r="G78" s="379">
        <f>SUM(E78:F78)</f>
        <v>0</v>
      </c>
      <c r="H78" s="379"/>
      <c r="I78" s="379">
        <f>SUM(G78:H78)</f>
        <v>0</v>
      </c>
      <c r="J78" s="379"/>
      <c r="K78" s="379">
        <f>SUM(I78:J78)</f>
        <v>0</v>
      </c>
      <c r="L78" s="379"/>
      <c r="M78" s="379">
        <f t="shared" si="82"/>
        <v>0</v>
      </c>
      <c r="N78" s="379"/>
      <c r="O78" s="379">
        <f>SUM(M78:N78)</f>
        <v>0</v>
      </c>
      <c r="P78" s="379">
        <v>95600</v>
      </c>
      <c r="Q78" s="379"/>
      <c r="R78" s="379">
        <f t="shared" si="79"/>
        <v>95600</v>
      </c>
      <c r="S78" s="379"/>
      <c r="T78" s="379">
        <f t="shared" si="16"/>
        <v>95600</v>
      </c>
      <c r="U78" s="379"/>
      <c r="V78" s="13">
        <f t="shared" si="74"/>
        <v>95600</v>
      </c>
      <c r="W78" s="13"/>
      <c r="X78" s="13">
        <f t="shared" si="8"/>
        <v>95600</v>
      </c>
      <c r="Y78" s="13"/>
      <c r="Z78" s="13">
        <f t="shared" si="17"/>
        <v>95600</v>
      </c>
      <c r="AA78" s="13"/>
      <c r="AB78" s="13">
        <f t="shared" si="18"/>
        <v>95600</v>
      </c>
      <c r="AC78" s="13"/>
      <c r="AD78" s="13">
        <f t="shared" ref="AD78:AD127" si="83">SUM(AB78:AC78)</f>
        <v>95600</v>
      </c>
      <c r="AE78" s="13"/>
      <c r="AF78" s="13">
        <f t="shared" si="80"/>
        <v>95600</v>
      </c>
      <c r="AG78" s="13"/>
      <c r="AH78" s="13">
        <f t="shared" si="81"/>
        <v>95600</v>
      </c>
      <c r="AI78" s="13">
        <f>90600+5000</f>
        <v>95600</v>
      </c>
      <c r="AJ78" s="13"/>
      <c r="AK78" s="13">
        <f t="shared" si="78"/>
        <v>95600</v>
      </c>
      <c r="AL78" s="12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  <c r="BG78" s="18"/>
      <c r="BH78" s="18"/>
    </row>
    <row r="79" spans="1:60">
      <c r="A79" s="12" t="s">
        <v>55</v>
      </c>
      <c r="B79" s="379">
        <f t="shared" ref="B79:AI79" si="84">B80</f>
        <v>0</v>
      </c>
      <c r="C79" s="379">
        <f t="shared" si="84"/>
        <v>0</v>
      </c>
      <c r="D79" s="379">
        <f t="shared" si="84"/>
        <v>0</v>
      </c>
      <c r="E79" s="379">
        <f t="shared" si="84"/>
        <v>0</v>
      </c>
      <c r="F79" s="379">
        <f t="shared" si="84"/>
        <v>0</v>
      </c>
      <c r="G79" s="379">
        <f t="shared" si="84"/>
        <v>0</v>
      </c>
      <c r="H79" s="379">
        <f t="shared" si="84"/>
        <v>0</v>
      </c>
      <c r="I79" s="379">
        <f t="shared" si="84"/>
        <v>0</v>
      </c>
      <c r="J79" s="379">
        <f t="shared" si="84"/>
        <v>0</v>
      </c>
      <c r="K79" s="379">
        <f t="shared" si="84"/>
        <v>0</v>
      </c>
      <c r="L79" s="379">
        <f t="shared" si="84"/>
        <v>0</v>
      </c>
      <c r="M79" s="379">
        <f t="shared" si="84"/>
        <v>0</v>
      </c>
      <c r="N79" s="379">
        <f t="shared" si="84"/>
        <v>0</v>
      </c>
      <c r="O79" s="379">
        <f t="shared" si="84"/>
        <v>0</v>
      </c>
      <c r="P79" s="379">
        <f t="shared" si="84"/>
        <v>520</v>
      </c>
      <c r="Q79" s="379">
        <f t="shared" si="84"/>
        <v>0</v>
      </c>
      <c r="R79" s="379">
        <f t="shared" si="84"/>
        <v>520</v>
      </c>
      <c r="S79" s="379">
        <f t="shared" si="84"/>
        <v>0</v>
      </c>
      <c r="T79" s="379">
        <f t="shared" si="84"/>
        <v>520</v>
      </c>
      <c r="U79" s="379">
        <f t="shared" si="84"/>
        <v>0</v>
      </c>
      <c r="V79" s="379">
        <f t="shared" si="84"/>
        <v>520</v>
      </c>
      <c r="W79" s="379">
        <f t="shared" si="84"/>
        <v>0</v>
      </c>
      <c r="X79" s="379">
        <f t="shared" si="84"/>
        <v>520</v>
      </c>
      <c r="Y79" s="379">
        <f t="shared" si="84"/>
        <v>0</v>
      </c>
      <c r="Z79" s="379">
        <f t="shared" si="84"/>
        <v>520</v>
      </c>
      <c r="AA79" s="379">
        <f t="shared" si="84"/>
        <v>0</v>
      </c>
      <c r="AB79" s="379">
        <f t="shared" si="84"/>
        <v>520</v>
      </c>
      <c r="AC79" s="379">
        <f t="shared" si="84"/>
        <v>0</v>
      </c>
      <c r="AD79" s="379">
        <f t="shared" si="84"/>
        <v>520</v>
      </c>
      <c r="AE79" s="379">
        <f t="shared" si="84"/>
        <v>0</v>
      </c>
      <c r="AF79" s="379">
        <f t="shared" si="84"/>
        <v>520</v>
      </c>
      <c r="AG79" s="379">
        <f t="shared" si="84"/>
        <v>0</v>
      </c>
      <c r="AH79" s="379">
        <f t="shared" si="84"/>
        <v>520</v>
      </c>
      <c r="AI79" s="379">
        <f t="shared" si="84"/>
        <v>400</v>
      </c>
      <c r="AJ79" s="379"/>
      <c r="AK79" s="13">
        <f t="shared" si="78"/>
        <v>400</v>
      </c>
      <c r="AL79" s="12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  <c r="BG79" s="18"/>
      <c r="BH79" s="18"/>
    </row>
    <row r="80" spans="1:60">
      <c r="A80" s="12" t="s">
        <v>463</v>
      </c>
      <c r="B80" s="13"/>
      <c r="C80" s="379">
        <f>SUM(B80:B80)</f>
        <v>0</v>
      </c>
      <c r="D80" s="379"/>
      <c r="E80" s="379">
        <f>SUM(C80:D80)</f>
        <v>0</v>
      </c>
      <c r="F80" s="379"/>
      <c r="G80" s="379">
        <f>SUM(E80:F80)</f>
        <v>0</v>
      </c>
      <c r="H80" s="379"/>
      <c r="I80" s="379">
        <f>SUM(G80:H80)</f>
        <v>0</v>
      </c>
      <c r="J80" s="379"/>
      <c r="K80" s="379">
        <f>SUM(I80:J80)</f>
        <v>0</v>
      </c>
      <c r="L80" s="379"/>
      <c r="M80" s="379">
        <f t="shared" si="82"/>
        <v>0</v>
      </c>
      <c r="N80" s="379"/>
      <c r="O80" s="379">
        <f>SUM(M80:N80)</f>
        <v>0</v>
      </c>
      <c r="P80" s="379">
        <v>520</v>
      </c>
      <c r="Q80" s="379"/>
      <c r="R80" s="379">
        <f t="shared" si="79"/>
        <v>520</v>
      </c>
      <c r="S80" s="379"/>
      <c r="T80" s="379">
        <f t="shared" si="16"/>
        <v>520</v>
      </c>
      <c r="U80" s="379"/>
      <c r="V80" s="13">
        <f t="shared" si="74"/>
        <v>520</v>
      </c>
      <c r="W80" s="13"/>
      <c r="X80" s="13">
        <f t="shared" si="8"/>
        <v>520</v>
      </c>
      <c r="Y80" s="13"/>
      <c r="Z80" s="13">
        <f t="shared" si="17"/>
        <v>520</v>
      </c>
      <c r="AA80" s="13"/>
      <c r="AB80" s="13">
        <f t="shared" ref="AB80:AB127" si="85">SUM(Z80:AA80)</f>
        <v>520</v>
      </c>
      <c r="AC80" s="13"/>
      <c r="AD80" s="13">
        <f t="shared" si="83"/>
        <v>520</v>
      </c>
      <c r="AE80" s="13"/>
      <c r="AF80" s="13">
        <f t="shared" si="80"/>
        <v>520</v>
      </c>
      <c r="AG80" s="13"/>
      <c r="AH80" s="13">
        <f t="shared" si="81"/>
        <v>520</v>
      </c>
      <c r="AI80" s="13">
        <v>400</v>
      </c>
      <c r="AJ80" s="13"/>
      <c r="AK80" s="13">
        <f t="shared" si="78"/>
        <v>400</v>
      </c>
      <c r="AL80" s="12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  <c r="BG80" s="18"/>
      <c r="BH80" s="18"/>
    </row>
    <row r="81" spans="1:60">
      <c r="A81" s="12" t="s">
        <v>56</v>
      </c>
      <c r="B81" s="13">
        <f t="shared" ref="B81:AK81" si="86">+B82+B83+B84</f>
        <v>0</v>
      </c>
      <c r="C81" s="13">
        <f t="shared" si="86"/>
        <v>0</v>
      </c>
      <c r="D81" s="13">
        <f t="shared" si="86"/>
        <v>0</v>
      </c>
      <c r="E81" s="13">
        <f t="shared" si="86"/>
        <v>0</v>
      </c>
      <c r="F81" s="13">
        <f t="shared" si="86"/>
        <v>0</v>
      </c>
      <c r="G81" s="13">
        <f t="shared" si="86"/>
        <v>0</v>
      </c>
      <c r="H81" s="13">
        <f t="shared" si="86"/>
        <v>0</v>
      </c>
      <c r="I81" s="13">
        <f t="shared" si="86"/>
        <v>0</v>
      </c>
      <c r="J81" s="13">
        <f t="shared" si="86"/>
        <v>0</v>
      </c>
      <c r="K81" s="13">
        <f t="shared" si="86"/>
        <v>0</v>
      </c>
      <c r="L81" s="13">
        <f t="shared" si="86"/>
        <v>0</v>
      </c>
      <c r="M81" s="13">
        <f t="shared" si="86"/>
        <v>0</v>
      </c>
      <c r="N81" s="13">
        <f t="shared" si="86"/>
        <v>0</v>
      </c>
      <c r="O81" s="13">
        <f t="shared" si="86"/>
        <v>0</v>
      </c>
      <c r="P81" s="13">
        <f t="shared" si="86"/>
        <v>4265</v>
      </c>
      <c r="Q81" s="13">
        <f t="shared" si="86"/>
        <v>0</v>
      </c>
      <c r="R81" s="13">
        <f t="shared" si="86"/>
        <v>4265</v>
      </c>
      <c r="S81" s="13">
        <f t="shared" si="86"/>
        <v>0</v>
      </c>
      <c r="T81" s="13">
        <f t="shared" si="86"/>
        <v>4265</v>
      </c>
      <c r="U81" s="13">
        <f t="shared" si="86"/>
        <v>0</v>
      </c>
      <c r="V81" s="13">
        <f t="shared" si="86"/>
        <v>4265</v>
      </c>
      <c r="W81" s="13">
        <f t="shared" si="86"/>
        <v>0</v>
      </c>
      <c r="X81" s="13">
        <f t="shared" si="86"/>
        <v>4265</v>
      </c>
      <c r="Y81" s="13">
        <f t="shared" si="86"/>
        <v>0</v>
      </c>
      <c r="Z81" s="13">
        <f t="shared" si="86"/>
        <v>4265</v>
      </c>
      <c r="AA81" s="13">
        <f t="shared" si="86"/>
        <v>0</v>
      </c>
      <c r="AB81" s="13">
        <f t="shared" si="86"/>
        <v>4265</v>
      </c>
      <c r="AC81" s="13">
        <f t="shared" si="86"/>
        <v>0</v>
      </c>
      <c r="AD81" s="13">
        <f t="shared" si="86"/>
        <v>4265</v>
      </c>
      <c r="AE81" s="13">
        <f t="shared" si="86"/>
        <v>0</v>
      </c>
      <c r="AF81" s="13">
        <f t="shared" si="86"/>
        <v>4265</v>
      </c>
      <c r="AG81" s="13">
        <f t="shared" si="86"/>
        <v>4656</v>
      </c>
      <c r="AH81" s="13">
        <f t="shared" si="86"/>
        <v>8921</v>
      </c>
      <c r="AI81" s="13">
        <f t="shared" si="86"/>
        <v>3820</v>
      </c>
      <c r="AJ81" s="13">
        <f t="shared" si="86"/>
        <v>0</v>
      </c>
      <c r="AK81" s="13">
        <f t="shared" si="86"/>
        <v>3820</v>
      </c>
      <c r="AL81" s="12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  <c r="BF81" s="18"/>
      <c r="BG81" s="18"/>
      <c r="BH81" s="18"/>
    </row>
    <row r="82" spans="1:60">
      <c r="A82" s="12" t="s">
        <v>57</v>
      </c>
      <c r="B82" s="13"/>
      <c r="C82" s="379">
        <f>SUM(B82:B82)</f>
        <v>0</v>
      </c>
      <c r="D82" s="379"/>
      <c r="E82" s="379">
        <f>SUM(C82:D82)</f>
        <v>0</v>
      </c>
      <c r="F82" s="379"/>
      <c r="G82" s="379">
        <f t="shared" ref="G82:G127" si="87">SUM(E82:F82)</f>
        <v>0</v>
      </c>
      <c r="H82" s="379"/>
      <c r="I82" s="379">
        <f>SUM(G82:H82)</f>
        <v>0</v>
      </c>
      <c r="J82" s="379"/>
      <c r="K82" s="379">
        <f>SUM(I82:J82)</f>
        <v>0</v>
      </c>
      <c r="L82" s="379"/>
      <c r="M82" s="379">
        <f t="shared" si="82"/>
        <v>0</v>
      </c>
      <c r="N82" s="379"/>
      <c r="O82" s="379">
        <f>SUM(M82:N82)</f>
        <v>0</v>
      </c>
      <c r="P82" s="379">
        <f>350+200</f>
        <v>550</v>
      </c>
      <c r="Q82" s="379"/>
      <c r="R82" s="379">
        <f>SUM(P82:Q82)</f>
        <v>550</v>
      </c>
      <c r="S82" s="379"/>
      <c r="T82" s="379">
        <f t="shared" si="16"/>
        <v>550</v>
      </c>
      <c r="U82" s="379"/>
      <c r="V82" s="13">
        <f t="shared" si="74"/>
        <v>550</v>
      </c>
      <c r="W82" s="13"/>
      <c r="X82" s="13">
        <f t="shared" si="8"/>
        <v>550</v>
      </c>
      <c r="Y82" s="13"/>
      <c r="Z82" s="13">
        <f t="shared" si="17"/>
        <v>550</v>
      </c>
      <c r="AA82" s="13"/>
      <c r="AB82" s="13">
        <f t="shared" si="85"/>
        <v>550</v>
      </c>
      <c r="AC82" s="13"/>
      <c r="AD82" s="13">
        <f t="shared" si="83"/>
        <v>550</v>
      </c>
      <c r="AE82" s="13"/>
      <c r="AF82" s="13">
        <f t="shared" si="80"/>
        <v>550</v>
      </c>
      <c r="AG82" s="13"/>
      <c r="AH82" s="13">
        <f t="shared" si="81"/>
        <v>550</v>
      </c>
      <c r="AI82" s="13">
        <f>350</f>
        <v>350</v>
      </c>
      <c r="AJ82" s="13"/>
      <c r="AK82" s="13">
        <f t="shared" si="78"/>
        <v>350</v>
      </c>
      <c r="AL82" s="12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  <c r="BG82" s="18"/>
      <c r="BH82" s="18"/>
    </row>
    <row r="83" spans="1:60">
      <c r="A83" s="12" t="s">
        <v>642</v>
      </c>
      <c r="B83" s="13"/>
      <c r="C83" s="379">
        <f>SUM(B83:B83)</f>
        <v>0</v>
      </c>
      <c r="D83" s="379"/>
      <c r="E83" s="379">
        <f>SUM(C83:D83)</f>
        <v>0</v>
      </c>
      <c r="F83" s="379"/>
      <c r="G83" s="379">
        <f t="shared" si="87"/>
        <v>0</v>
      </c>
      <c r="H83" s="379"/>
      <c r="I83" s="379">
        <f>SUM(G83:H83)</f>
        <v>0</v>
      </c>
      <c r="J83" s="379"/>
      <c r="K83" s="379">
        <f>SUM(I83:J83)</f>
        <v>0</v>
      </c>
      <c r="L83" s="379"/>
      <c r="M83" s="379">
        <f t="shared" si="82"/>
        <v>0</v>
      </c>
      <c r="N83" s="379"/>
      <c r="O83" s="379">
        <f>SUM(M83:N83)</f>
        <v>0</v>
      </c>
      <c r="P83" s="379">
        <f>1615</f>
        <v>1615</v>
      </c>
      <c r="Q83" s="379"/>
      <c r="R83" s="379">
        <f>SUM(P83:Q83)</f>
        <v>1615</v>
      </c>
      <c r="S83" s="379"/>
      <c r="T83" s="379">
        <f t="shared" si="16"/>
        <v>1615</v>
      </c>
      <c r="U83" s="379"/>
      <c r="V83" s="13">
        <f t="shared" si="74"/>
        <v>1615</v>
      </c>
      <c r="W83" s="13"/>
      <c r="X83" s="13">
        <f t="shared" ref="X83:X127" si="88">SUM(V83:W83)</f>
        <v>1615</v>
      </c>
      <c r="Y83" s="13"/>
      <c r="Z83" s="13">
        <f t="shared" si="17"/>
        <v>1615</v>
      </c>
      <c r="AA83" s="13"/>
      <c r="AB83" s="13">
        <f t="shared" si="85"/>
        <v>1615</v>
      </c>
      <c r="AC83" s="13"/>
      <c r="AD83" s="13">
        <f t="shared" si="83"/>
        <v>1615</v>
      </c>
      <c r="AE83" s="13"/>
      <c r="AF83" s="13">
        <f t="shared" si="80"/>
        <v>1615</v>
      </c>
      <c r="AG83" s="13">
        <v>4656</v>
      </c>
      <c r="AH83" s="13">
        <f t="shared" si="81"/>
        <v>6271</v>
      </c>
      <c r="AI83" s="13">
        <f>1700</f>
        <v>1700</v>
      </c>
      <c r="AJ83" s="13"/>
      <c r="AK83" s="13">
        <f t="shared" si="78"/>
        <v>1700</v>
      </c>
      <c r="AL83" s="12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  <c r="BG83" s="18"/>
      <c r="BH83" s="18"/>
    </row>
    <row r="84" spans="1:60">
      <c r="A84" s="12" t="s">
        <v>58</v>
      </c>
      <c r="B84" s="13"/>
      <c r="C84" s="379">
        <f>SUM(B84:B84)</f>
        <v>0</v>
      </c>
      <c r="D84" s="379"/>
      <c r="E84" s="379">
        <f>SUM(C84:D84)</f>
        <v>0</v>
      </c>
      <c r="F84" s="379"/>
      <c r="G84" s="379">
        <f t="shared" si="87"/>
        <v>0</v>
      </c>
      <c r="H84" s="379"/>
      <c r="I84" s="379">
        <f>SUM(G84:H84)</f>
        <v>0</v>
      </c>
      <c r="J84" s="379"/>
      <c r="K84" s="379">
        <f>SUM(I84:J84)</f>
        <v>0</v>
      </c>
      <c r="L84" s="379"/>
      <c r="M84" s="379">
        <f t="shared" si="82"/>
        <v>0</v>
      </c>
      <c r="N84" s="379"/>
      <c r="O84" s="379">
        <f>SUM(M84:N84)</f>
        <v>0</v>
      </c>
      <c r="P84" s="379">
        <v>2100</v>
      </c>
      <c r="Q84" s="379"/>
      <c r="R84" s="379">
        <f>SUM(P84:Q84)</f>
        <v>2100</v>
      </c>
      <c r="S84" s="379"/>
      <c r="T84" s="379">
        <f t="shared" si="16"/>
        <v>2100</v>
      </c>
      <c r="U84" s="379"/>
      <c r="V84" s="13">
        <f t="shared" si="74"/>
        <v>2100</v>
      </c>
      <c r="W84" s="13"/>
      <c r="X84" s="13">
        <f t="shared" si="88"/>
        <v>2100</v>
      </c>
      <c r="Y84" s="13"/>
      <c r="Z84" s="13">
        <f t="shared" si="17"/>
        <v>2100</v>
      </c>
      <c r="AA84" s="13"/>
      <c r="AB84" s="13">
        <f t="shared" si="85"/>
        <v>2100</v>
      </c>
      <c r="AC84" s="13"/>
      <c r="AD84" s="13">
        <f t="shared" si="83"/>
        <v>2100</v>
      </c>
      <c r="AE84" s="13"/>
      <c r="AF84" s="13">
        <f t="shared" si="80"/>
        <v>2100</v>
      </c>
      <c r="AG84" s="13"/>
      <c r="AH84" s="13">
        <f t="shared" si="81"/>
        <v>2100</v>
      </c>
      <c r="AI84" s="13">
        <v>1770</v>
      </c>
      <c r="AJ84" s="13"/>
      <c r="AK84" s="13">
        <f t="shared" si="78"/>
        <v>1770</v>
      </c>
      <c r="AL84" s="12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  <c r="BF84" s="18"/>
      <c r="BG84" s="18"/>
      <c r="BH84" s="18"/>
    </row>
    <row r="85" spans="1:60">
      <c r="A85" s="10" t="s">
        <v>59</v>
      </c>
      <c r="B85" s="20" t="e">
        <f>B86+B87+B90+B91+B94+B95+#REF!+B96</f>
        <v>#REF!</v>
      </c>
      <c r="C85" s="20" t="e">
        <f>C86+C87+C90+C91+C94+C95+#REF!+C96</f>
        <v>#REF!</v>
      </c>
      <c r="D85" s="20" t="e">
        <f>D86+D87+D90+D91+D94+D95+#REF!+D96</f>
        <v>#REF!</v>
      </c>
      <c r="E85" s="20" t="e">
        <f>E86+E87+E90+E91+E94+E95+#REF!+E96</f>
        <v>#REF!</v>
      </c>
      <c r="F85" s="20" t="e">
        <f>F86+F87+F90+F91+F94+F95+#REF!+F96</f>
        <v>#REF!</v>
      </c>
      <c r="G85" s="20" t="e">
        <f>G86+G87+G90+G91+G94+G95+#REF!+G96</f>
        <v>#REF!</v>
      </c>
      <c r="H85" s="20" t="e">
        <f>H86+H87+H90+H91+H94+H95+#REF!+H96</f>
        <v>#REF!</v>
      </c>
      <c r="I85" s="20" t="e">
        <f>I86+I87+I90+I91+I94+I95+#REF!+I96</f>
        <v>#REF!</v>
      </c>
      <c r="J85" s="20" t="e">
        <f>J86+J87+J90+J91+J94+J95+#REF!+J96</f>
        <v>#REF!</v>
      </c>
      <c r="K85" s="20" t="e">
        <f>K86+K87+K90+K91+K94+K95+#REF!+K96</f>
        <v>#REF!</v>
      </c>
      <c r="L85" s="20" t="e">
        <f>L86+L87+L90+L91+L94+L95+#REF!+L96</f>
        <v>#REF!</v>
      </c>
      <c r="M85" s="20" t="e">
        <f>M86+M87+M90+M91+M94+M95+#REF!+M96</f>
        <v>#REF!</v>
      </c>
      <c r="N85" s="20" t="e">
        <f>N86+N87+N90+N91+N94+N95+#REF!+N96</f>
        <v>#REF!</v>
      </c>
      <c r="O85" s="20" t="e">
        <f>O86+O87+O90+O91+O94+O95+#REF!+O96</f>
        <v>#REF!</v>
      </c>
      <c r="P85" s="20">
        <f>P86+P87+P90+P91+P94+P95+P96</f>
        <v>566509.99</v>
      </c>
      <c r="Q85" s="20">
        <f>Q86+Q87+Q90+Q91+Q94+Q95+Q96</f>
        <v>0</v>
      </c>
      <c r="R85" s="20">
        <f>R86+R87+R90+R91+R94+R95+R96</f>
        <v>566509.99</v>
      </c>
      <c r="S85" s="20">
        <f t="shared" ref="S85:AH85" si="89">S86+S87+S90+S91+S94+S95+S96</f>
        <v>806</v>
      </c>
      <c r="T85" s="20">
        <f t="shared" si="89"/>
        <v>567315.99</v>
      </c>
      <c r="U85" s="20">
        <f t="shared" si="89"/>
        <v>3017</v>
      </c>
      <c r="V85" s="20">
        <f t="shared" si="89"/>
        <v>570332.99</v>
      </c>
      <c r="W85" s="20">
        <f t="shared" si="89"/>
        <v>4281</v>
      </c>
      <c r="X85" s="20">
        <f t="shared" si="89"/>
        <v>574613.99</v>
      </c>
      <c r="Y85" s="20">
        <f t="shared" si="89"/>
        <v>0</v>
      </c>
      <c r="Z85" s="20">
        <f t="shared" si="89"/>
        <v>574613.99</v>
      </c>
      <c r="AA85" s="20">
        <f t="shared" si="89"/>
        <v>2345</v>
      </c>
      <c r="AB85" s="20">
        <f t="shared" si="89"/>
        <v>576958.99</v>
      </c>
      <c r="AC85" s="20">
        <f t="shared" si="89"/>
        <v>1121</v>
      </c>
      <c r="AD85" s="20">
        <f t="shared" si="89"/>
        <v>578079.99</v>
      </c>
      <c r="AE85" s="20">
        <f t="shared" si="89"/>
        <v>0</v>
      </c>
      <c r="AF85" s="20">
        <f t="shared" si="89"/>
        <v>578079.99</v>
      </c>
      <c r="AG85" s="20">
        <f t="shared" si="89"/>
        <v>0</v>
      </c>
      <c r="AH85" s="20">
        <f t="shared" si="89"/>
        <v>578079.99</v>
      </c>
      <c r="AI85" s="20">
        <f>AI86+AI87+AI90+AI91+AI94+AI96</f>
        <v>357115</v>
      </c>
      <c r="AJ85" s="20">
        <f t="shared" ref="AJ85:AK85" si="90">AJ86+AJ87+AJ90+AJ91+AJ94+AJ96</f>
        <v>0</v>
      </c>
      <c r="AK85" s="20">
        <f t="shared" si="90"/>
        <v>357115</v>
      </c>
      <c r="AL85" s="12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  <c r="BF85" s="18"/>
      <c r="BG85" s="18"/>
      <c r="BH85" s="18"/>
    </row>
    <row r="86" spans="1:60">
      <c r="A86" s="12" t="s">
        <v>60</v>
      </c>
      <c r="B86" s="13"/>
      <c r="C86" s="379">
        <f>SUM(B86:B86)</f>
        <v>0</v>
      </c>
      <c r="D86" s="379"/>
      <c r="E86" s="379">
        <f>SUM(C86:D86)</f>
        <v>0</v>
      </c>
      <c r="F86" s="379"/>
      <c r="G86" s="379">
        <f t="shared" si="87"/>
        <v>0</v>
      </c>
      <c r="H86" s="379"/>
      <c r="I86" s="379">
        <f>SUM(G86:H86)</f>
        <v>0</v>
      </c>
      <c r="J86" s="379"/>
      <c r="K86" s="379">
        <f>SUM(I86:J86)</f>
        <v>0</v>
      </c>
      <c r="L86" s="379"/>
      <c r="M86" s="379">
        <f t="shared" si="82"/>
        <v>0</v>
      </c>
      <c r="N86" s="379"/>
      <c r="O86" s="379">
        <f>SUM(M86:N86)</f>
        <v>0</v>
      </c>
      <c r="P86" s="379">
        <v>929</v>
      </c>
      <c r="Q86" s="379"/>
      <c r="R86" s="379">
        <f>SUM(P86:Q86)</f>
        <v>929</v>
      </c>
      <c r="S86" s="379">
        <v>49</v>
      </c>
      <c r="T86" s="379">
        <f t="shared" ref="T86:T127" si="91">SUM(R86:S86)</f>
        <v>978</v>
      </c>
      <c r="U86" s="379"/>
      <c r="V86" s="13">
        <f t="shared" si="74"/>
        <v>978</v>
      </c>
      <c r="W86" s="13"/>
      <c r="X86" s="13">
        <f t="shared" si="88"/>
        <v>978</v>
      </c>
      <c r="Y86" s="13"/>
      <c r="Z86" s="13">
        <f t="shared" ref="Z86:Z127" si="92">SUM(X86:Y86)</f>
        <v>978</v>
      </c>
      <c r="AA86" s="13"/>
      <c r="AB86" s="13">
        <f t="shared" si="85"/>
        <v>978</v>
      </c>
      <c r="AC86" s="13"/>
      <c r="AD86" s="13">
        <f t="shared" si="83"/>
        <v>978</v>
      </c>
      <c r="AE86" s="13"/>
      <c r="AF86" s="13">
        <f t="shared" si="80"/>
        <v>978</v>
      </c>
      <c r="AG86" s="13"/>
      <c r="AH86" s="13">
        <f t="shared" si="81"/>
        <v>978</v>
      </c>
      <c r="AI86" s="13">
        <v>400</v>
      </c>
      <c r="AJ86" s="13"/>
      <c r="AK86" s="13">
        <f t="shared" si="78"/>
        <v>400</v>
      </c>
      <c r="AL86" s="12"/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  <c r="BF86" s="18"/>
      <c r="BG86" s="18"/>
      <c r="BH86" s="18"/>
    </row>
    <row r="87" spans="1:60">
      <c r="A87" s="12" t="s">
        <v>61</v>
      </c>
      <c r="B87" s="13">
        <f t="shared" ref="B87:AK87" si="93">B88+B89</f>
        <v>0</v>
      </c>
      <c r="C87" s="13">
        <f t="shared" si="93"/>
        <v>0</v>
      </c>
      <c r="D87" s="13">
        <f t="shared" si="93"/>
        <v>0</v>
      </c>
      <c r="E87" s="13">
        <f t="shared" si="93"/>
        <v>0</v>
      </c>
      <c r="F87" s="13">
        <f t="shared" si="93"/>
        <v>0</v>
      </c>
      <c r="G87" s="13">
        <f t="shared" si="93"/>
        <v>0</v>
      </c>
      <c r="H87" s="13">
        <f t="shared" si="93"/>
        <v>0</v>
      </c>
      <c r="I87" s="13">
        <f t="shared" si="93"/>
        <v>0</v>
      </c>
      <c r="J87" s="13">
        <f t="shared" si="93"/>
        <v>0</v>
      </c>
      <c r="K87" s="13">
        <f t="shared" si="93"/>
        <v>0</v>
      </c>
      <c r="L87" s="13">
        <f t="shared" si="93"/>
        <v>787</v>
      </c>
      <c r="M87" s="13">
        <f t="shared" si="93"/>
        <v>787</v>
      </c>
      <c r="N87" s="13">
        <f t="shared" si="93"/>
        <v>0</v>
      </c>
      <c r="O87" s="13">
        <f t="shared" si="93"/>
        <v>1387</v>
      </c>
      <c r="P87" s="13">
        <f t="shared" si="93"/>
        <v>3100</v>
      </c>
      <c r="Q87" s="13">
        <f t="shared" si="93"/>
        <v>0</v>
      </c>
      <c r="R87" s="13">
        <f t="shared" si="93"/>
        <v>3100</v>
      </c>
      <c r="S87" s="13">
        <f t="shared" si="93"/>
        <v>0</v>
      </c>
      <c r="T87" s="13">
        <f t="shared" si="93"/>
        <v>3100</v>
      </c>
      <c r="U87" s="13">
        <f t="shared" si="93"/>
        <v>0</v>
      </c>
      <c r="V87" s="13">
        <f t="shared" si="93"/>
        <v>3100</v>
      </c>
      <c r="W87" s="13">
        <f t="shared" si="93"/>
        <v>0</v>
      </c>
      <c r="X87" s="13">
        <f t="shared" si="93"/>
        <v>3100</v>
      </c>
      <c r="Y87" s="13">
        <f t="shared" si="93"/>
        <v>0</v>
      </c>
      <c r="Z87" s="13">
        <f t="shared" si="93"/>
        <v>3100</v>
      </c>
      <c r="AA87" s="13">
        <f t="shared" si="93"/>
        <v>2345</v>
      </c>
      <c r="AB87" s="13">
        <f t="shared" si="93"/>
        <v>5445</v>
      </c>
      <c r="AC87" s="13">
        <f t="shared" si="93"/>
        <v>0</v>
      </c>
      <c r="AD87" s="13">
        <f t="shared" si="93"/>
        <v>5445</v>
      </c>
      <c r="AE87" s="13">
        <f t="shared" si="93"/>
        <v>0</v>
      </c>
      <c r="AF87" s="13">
        <f t="shared" si="93"/>
        <v>5445</v>
      </c>
      <c r="AG87" s="13">
        <f t="shared" si="93"/>
        <v>0</v>
      </c>
      <c r="AH87" s="13">
        <f t="shared" si="93"/>
        <v>5445</v>
      </c>
      <c r="AI87" s="13">
        <f t="shared" si="93"/>
        <v>2100</v>
      </c>
      <c r="AJ87" s="13">
        <f t="shared" si="93"/>
        <v>0</v>
      </c>
      <c r="AK87" s="13">
        <f t="shared" si="93"/>
        <v>2100</v>
      </c>
      <c r="AL87" s="12"/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  <c r="BF87" s="18"/>
      <c r="BG87" s="18"/>
      <c r="BH87" s="18"/>
    </row>
    <row r="88" spans="1:60">
      <c r="A88" s="12" t="s">
        <v>464</v>
      </c>
      <c r="B88" s="13"/>
      <c r="C88" s="379">
        <f>SUM(B88:B88)</f>
        <v>0</v>
      </c>
      <c r="D88" s="379"/>
      <c r="E88" s="379">
        <f>SUM(C88:D88)</f>
        <v>0</v>
      </c>
      <c r="F88" s="379"/>
      <c r="G88" s="379">
        <f t="shared" si="87"/>
        <v>0</v>
      </c>
      <c r="H88" s="379"/>
      <c r="I88" s="379">
        <f>SUM(G88:H88)</f>
        <v>0</v>
      </c>
      <c r="J88" s="379"/>
      <c r="K88" s="379">
        <f>SUM(I88:J88)</f>
        <v>0</v>
      </c>
      <c r="L88" s="379">
        <v>787</v>
      </c>
      <c r="M88" s="379">
        <f t="shared" si="82"/>
        <v>787</v>
      </c>
      <c r="N88" s="379"/>
      <c r="O88" s="379">
        <v>1387</v>
      </c>
      <c r="P88" s="379">
        <f>100</f>
        <v>100</v>
      </c>
      <c r="Q88" s="379"/>
      <c r="R88" s="379">
        <f>SUM(P88:Q88)</f>
        <v>100</v>
      </c>
      <c r="S88" s="379"/>
      <c r="T88" s="379">
        <f t="shared" si="91"/>
        <v>100</v>
      </c>
      <c r="U88" s="379"/>
      <c r="V88" s="13">
        <f t="shared" si="74"/>
        <v>100</v>
      </c>
      <c r="W88" s="13"/>
      <c r="X88" s="13">
        <f t="shared" si="88"/>
        <v>100</v>
      </c>
      <c r="Y88" s="13"/>
      <c r="Z88" s="13">
        <f t="shared" si="92"/>
        <v>100</v>
      </c>
      <c r="AA88" s="13">
        <v>2345</v>
      </c>
      <c r="AB88" s="13">
        <f t="shared" si="85"/>
        <v>2445</v>
      </c>
      <c r="AC88" s="13"/>
      <c r="AD88" s="13">
        <f t="shared" si="83"/>
        <v>2445</v>
      </c>
      <c r="AE88" s="13"/>
      <c r="AF88" s="13">
        <f t="shared" si="80"/>
        <v>2445</v>
      </c>
      <c r="AG88" s="13"/>
      <c r="AH88" s="13">
        <f t="shared" si="81"/>
        <v>2445</v>
      </c>
      <c r="AI88" s="13">
        <v>100</v>
      </c>
      <c r="AJ88" s="13"/>
      <c r="AK88" s="13">
        <f t="shared" si="78"/>
        <v>100</v>
      </c>
      <c r="AL88" s="12"/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  <c r="BF88" s="18"/>
      <c r="BG88" s="18"/>
      <c r="BH88" s="18"/>
    </row>
    <row r="89" spans="1:60" ht="23.25" customHeight="1">
      <c r="A89" s="12" t="s">
        <v>798</v>
      </c>
      <c r="B89" s="13"/>
      <c r="C89" s="379">
        <f>SUM(B89:B89)</f>
        <v>0</v>
      </c>
      <c r="D89" s="379"/>
      <c r="E89" s="379">
        <f>SUM(C89:D89)</f>
        <v>0</v>
      </c>
      <c r="F89" s="379"/>
      <c r="G89" s="379">
        <f t="shared" si="87"/>
        <v>0</v>
      </c>
      <c r="H89" s="379"/>
      <c r="I89" s="379">
        <f>SUM(G89:H89)</f>
        <v>0</v>
      </c>
      <c r="J89" s="379"/>
      <c r="K89" s="379">
        <f>SUM(I89:J89)</f>
        <v>0</v>
      </c>
      <c r="L89" s="379"/>
      <c r="M89" s="379">
        <f t="shared" si="82"/>
        <v>0</v>
      </c>
      <c r="N89" s="379"/>
      <c r="O89" s="379">
        <f>SUM(M89:N89)</f>
        <v>0</v>
      </c>
      <c r="P89" s="379">
        <v>3000</v>
      </c>
      <c r="Q89" s="379"/>
      <c r="R89" s="379">
        <f>SUM(P89:Q89)</f>
        <v>3000</v>
      </c>
      <c r="S89" s="379"/>
      <c r="T89" s="379">
        <f t="shared" si="91"/>
        <v>3000</v>
      </c>
      <c r="U89" s="379"/>
      <c r="V89" s="13">
        <f t="shared" si="74"/>
        <v>3000</v>
      </c>
      <c r="W89" s="13"/>
      <c r="X89" s="13">
        <f t="shared" si="88"/>
        <v>3000</v>
      </c>
      <c r="Y89" s="13"/>
      <c r="Z89" s="13">
        <f t="shared" si="92"/>
        <v>3000</v>
      </c>
      <c r="AA89" s="13"/>
      <c r="AB89" s="13">
        <f t="shared" si="85"/>
        <v>3000</v>
      </c>
      <c r="AC89" s="13"/>
      <c r="AD89" s="13">
        <f t="shared" si="83"/>
        <v>3000</v>
      </c>
      <c r="AE89" s="13"/>
      <c r="AF89" s="13">
        <f t="shared" si="80"/>
        <v>3000</v>
      </c>
      <c r="AG89" s="13"/>
      <c r="AH89" s="13">
        <f t="shared" si="81"/>
        <v>3000</v>
      </c>
      <c r="AI89" s="13">
        <v>2000</v>
      </c>
      <c r="AJ89" s="13"/>
      <c r="AK89" s="13">
        <f t="shared" si="78"/>
        <v>2000</v>
      </c>
      <c r="AL89" s="12"/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  <c r="BF89" s="18"/>
      <c r="BG89" s="18"/>
      <c r="BH89" s="18"/>
    </row>
    <row r="90" spans="1:60" ht="13.5" customHeight="1">
      <c r="A90" s="12" t="s">
        <v>62</v>
      </c>
      <c r="B90" s="13"/>
      <c r="C90" s="379">
        <f>SUM(B90:B90)</f>
        <v>0</v>
      </c>
      <c r="D90" s="379"/>
      <c r="E90" s="379">
        <f>SUM(C90:D90)</f>
        <v>0</v>
      </c>
      <c r="F90" s="379"/>
      <c r="G90" s="379">
        <f t="shared" si="87"/>
        <v>0</v>
      </c>
      <c r="H90" s="379"/>
      <c r="I90" s="379">
        <f>SUM(G90:H90)</f>
        <v>0</v>
      </c>
      <c r="J90" s="379"/>
      <c r="K90" s="379">
        <f>SUM(I90:J90)</f>
        <v>0</v>
      </c>
      <c r="L90" s="379"/>
      <c r="M90" s="379">
        <f t="shared" si="82"/>
        <v>0</v>
      </c>
      <c r="N90" s="379"/>
      <c r="O90" s="379">
        <f>SUM(M90:N90)</f>
        <v>0</v>
      </c>
      <c r="P90" s="379">
        <f>20000+3000</f>
        <v>23000</v>
      </c>
      <c r="Q90" s="379"/>
      <c r="R90" s="379">
        <f>SUM(P90:Q90)</f>
        <v>23000</v>
      </c>
      <c r="S90" s="379"/>
      <c r="T90" s="379">
        <f t="shared" si="91"/>
        <v>23000</v>
      </c>
      <c r="U90" s="379"/>
      <c r="V90" s="13">
        <f t="shared" si="74"/>
        <v>23000</v>
      </c>
      <c r="W90" s="13"/>
      <c r="X90" s="13">
        <f t="shared" si="88"/>
        <v>23000</v>
      </c>
      <c r="Y90" s="13"/>
      <c r="Z90" s="13">
        <f t="shared" si="92"/>
        <v>23000</v>
      </c>
      <c r="AA90" s="13"/>
      <c r="AB90" s="13">
        <f t="shared" si="85"/>
        <v>23000</v>
      </c>
      <c r="AC90" s="13"/>
      <c r="AD90" s="13">
        <f t="shared" si="83"/>
        <v>23000</v>
      </c>
      <c r="AE90" s="13"/>
      <c r="AF90" s="13">
        <f t="shared" si="80"/>
        <v>23000</v>
      </c>
      <c r="AG90" s="13"/>
      <c r="AH90" s="13">
        <f t="shared" si="81"/>
        <v>23000</v>
      </c>
      <c r="AI90" s="13">
        <v>23000</v>
      </c>
      <c r="AJ90" s="13"/>
      <c r="AK90" s="13">
        <f t="shared" si="78"/>
        <v>23000</v>
      </c>
      <c r="AL90" s="12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  <c r="BF90" s="18"/>
      <c r="BG90" s="18"/>
      <c r="BH90" s="18"/>
    </row>
    <row r="91" spans="1:60">
      <c r="A91" s="12" t="s">
        <v>63</v>
      </c>
      <c r="B91" s="13" t="e">
        <f>B92+#REF!</f>
        <v>#REF!</v>
      </c>
      <c r="C91" s="13" t="e">
        <f>C92+#REF!</f>
        <v>#REF!</v>
      </c>
      <c r="D91" s="13">
        <f t="shared" ref="D91:AK91" si="94">D92+D93</f>
        <v>1890</v>
      </c>
      <c r="E91" s="13">
        <f t="shared" si="94"/>
        <v>1890</v>
      </c>
      <c r="F91" s="13">
        <f t="shared" si="94"/>
        <v>0</v>
      </c>
      <c r="G91" s="13">
        <f t="shared" si="94"/>
        <v>1890</v>
      </c>
      <c r="H91" s="13">
        <f t="shared" si="94"/>
        <v>0</v>
      </c>
      <c r="I91" s="13">
        <f t="shared" si="94"/>
        <v>1890</v>
      </c>
      <c r="J91" s="13">
        <f t="shared" si="94"/>
        <v>0</v>
      </c>
      <c r="K91" s="13">
        <f t="shared" si="94"/>
        <v>1890</v>
      </c>
      <c r="L91" s="13">
        <f t="shared" si="94"/>
        <v>0</v>
      </c>
      <c r="M91" s="13">
        <f t="shared" si="94"/>
        <v>1890</v>
      </c>
      <c r="N91" s="13">
        <f t="shared" si="94"/>
        <v>0</v>
      </c>
      <c r="O91" s="13">
        <f t="shared" si="94"/>
        <v>1890</v>
      </c>
      <c r="P91" s="13">
        <f t="shared" si="94"/>
        <v>259598</v>
      </c>
      <c r="Q91" s="13">
        <f t="shared" si="94"/>
        <v>0</v>
      </c>
      <c r="R91" s="13">
        <f t="shared" si="94"/>
        <v>259598</v>
      </c>
      <c r="S91" s="13">
        <f t="shared" si="94"/>
        <v>0</v>
      </c>
      <c r="T91" s="13">
        <f t="shared" si="94"/>
        <v>259598</v>
      </c>
      <c r="U91" s="13">
        <f t="shared" si="94"/>
        <v>0</v>
      </c>
      <c r="V91" s="13">
        <f t="shared" si="94"/>
        <v>259598</v>
      </c>
      <c r="W91" s="13">
        <f t="shared" si="94"/>
        <v>2693</v>
      </c>
      <c r="X91" s="13">
        <f t="shared" si="94"/>
        <v>262291</v>
      </c>
      <c r="Y91" s="13">
        <f t="shared" si="94"/>
        <v>0</v>
      </c>
      <c r="Z91" s="13">
        <f t="shared" si="94"/>
        <v>262291</v>
      </c>
      <c r="AA91" s="13">
        <f t="shared" si="94"/>
        <v>0</v>
      </c>
      <c r="AB91" s="13">
        <f t="shared" si="94"/>
        <v>262291</v>
      </c>
      <c r="AC91" s="13">
        <f t="shared" si="94"/>
        <v>1121</v>
      </c>
      <c r="AD91" s="13">
        <f t="shared" si="94"/>
        <v>263412</v>
      </c>
      <c r="AE91" s="13">
        <f t="shared" si="94"/>
        <v>0</v>
      </c>
      <c r="AF91" s="13">
        <f t="shared" si="94"/>
        <v>263412</v>
      </c>
      <c r="AG91" s="13">
        <f t="shared" si="94"/>
        <v>0</v>
      </c>
      <c r="AH91" s="13">
        <f t="shared" si="94"/>
        <v>263412</v>
      </c>
      <c r="AI91" s="13">
        <f t="shared" si="94"/>
        <v>234771</v>
      </c>
      <c r="AJ91" s="13">
        <f t="shared" si="94"/>
        <v>0</v>
      </c>
      <c r="AK91" s="13">
        <f t="shared" si="94"/>
        <v>234771</v>
      </c>
      <c r="AL91" s="12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  <c r="BF91" s="18"/>
      <c r="BG91" s="18"/>
      <c r="BH91" s="18"/>
    </row>
    <row r="92" spans="1:60">
      <c r="A92" s="18" t="s">
        <v>64</v>
      </c>
      <c r="B92" s="13"/>
      <c r="C92" s="379">
        <f>SUM(B92:B92)</f>
        <v>0</v>
      </c>
      <c r="D92" s="379">
        <f>800-5200</f>
        <v>-4400</v>
      </c>
      <c r="E92" s="379">
        <f>SUM(C92:D92)</f>
        <v>-4400</v>
      </c>
      <c r="F92" s="379"/>
      <c r="G92" s="379">
        <f t="shared" si="87"/>
        <v>-4400</v>
      </c>
      <c r="H92" s="379"/>
      <c r="I92" s="379">
        <f t="shared" ref="I92:I96" si="95">SUM(G92:H92)</f>
        <v>-4400</v>
      </c>
      <c r="J92" s="379"/>
      <c r="K92" s="379">
        <f t="shared" ref="K92:K96" si="96">SUM(I92:J92)</f>
        <v>-4400</v>
      </c>
      <c r="L92" s="379"/>
      <c r="M92" s="379">
        <f t="shared" si="82"/>
        <v>-4400</v>
      </c>
      <c r="N92" s="379"/>
      <c r="O92" s="379">
        <f t="shared" ref="O92:O96" si="97">SUM(M92:N92)</f>
        <v>-4400</v>
      </c>
      <c r="P92" s="379">
        <f>248308+5000</f>
        <v>253308</v>
      </c>
      <c r="Q92" s="379"/>
      <c r="R92" s="379">
        <f t="shared" ref="R92:R96" si="98">SUM(P92:Q92)</f>
        <v>253308</v>
      </c>
      <c r="S92" s="379"/>
      <c r="T92" s="379">
        <f t="shared" si="91"/>
        <v>253308</v>
      </c>
      <c r="U92" s="379"/>
      <c r="V92" s="13">
        <f t="shared" si="74"/>
        <v>253308</v>
      </c>
      <c r="W92" s="13">
        <v>2693</v>
      </c>
      <c r="X92" s="13">
        <f t="shared" si="88"/>
        <v>256001</v>
      </c>
      <c r="Y92" s="13"/>
      <c r="Z92" s="13">
        <f t="shared" si="92"/>
        <v>256001</v>
      </c>
      <c r="AA92" s="13"/>
      <c r="AB92" s="13">
        <f t="shared" si="85"/>
        <v>256001</v>
      </c>
      <c r="AC92" s="13"/>
      <c r="AD92" s="13">
        <f t="shared" si="83"/>
        <v>256001</v>
      </c>
      <c r="AE92" s="13"/>
      <c r="AF92" s="13">
        <f t="shared" si="80"/>
        <v>256001</v>
      </c>
      <c r="AG92" s="13"/>
      <c r="AH92" s="13">
        <f t="shared" si="81"/>
        <v>256001</v>
      </c>
      <c r="AI92" s="13">
        <v>234771</v>
      </c>
      <c r="AJ92" s="13"/>
      <c r="AK92" s="13">
        <f t="shared" si="78"/>
        <v>234771</v>
      </c>
      <c r="AL92" s="12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  <c r="BF92" s="18"/>
      <c r="BG92" s="18"/>
      <c r="BH92" s="18"/>
    </row>
    <row r="93" spans="1:60" ht="16.5" customHeight="1">
      <c r="A93" s="18" t="s">
        <v>421</v>
      </c>
      <c r="B93" s="13"/>
      <c r="C93" s="379"/>
      <c r="D93" s="379">
        <v>6290</v>
      </c>
      <c r="E93" s="379">
        <f>SUM(C93:D93)</f>
        <v>6290</v>
      </c>
      <c r="F93" s="379"/>
      <c r="G93" s="379">
        <f t="shared" si="87"/>
        <v>6290</v>
      </c>
      <c r="H93" s="379"/>
      <c r="I93" s="379">
        <f t="shared" si="95"/>
        <v>6290</v>
      </c>
      <c r="J93" s="379"/>
      <c r="K93" s="379">
        <f t="shared" si="96"/>
        <v>6290</v>
      </c>
      <c r="L93" s="379"/>
      <c r="M93" s="379">
        <f t="shared" si="82"/>
        <v>6290</v>
      </c>
      <c r="N93" s="379"/>
      <c r="O93" s="379">
        <f t="shared" si="97"/>
        <v>6290</v>
      </c>
      <c r="P93" s="379">
        <v>6290</v>
      </c>
      <c r="Q93" s="379"/>
      <c r="R93" s="379">
        <f t="shared" si="98"/>
        <v>6290</v>
      </c>
      <c r="S93" s="379"/>
      <c r="T93" s="379">
        <f t="shared" si="91"/>
        <v>6290</v>
      </c>
      <c r="U93" s="379"/>
      <c r="V93" s="13">
        <f t="shared" si="74"/>
        <v>6290</v>
      </c>
      <c r="W93" s="13"/>
      <c r="X93" s="13">
        <f t="shared" si="88"/>
        <v>6290</v>
      </c>
      <c r="Y93" s="13"/>
      <c r="Z93" s="13">
        <f t="shared" si="92"/>
        <v>6290</v>
      </c>
      <c r="AA93" s="13"/>
      <c r="AB93" s="13">
        <f t="shared" si="85"/>
        <v>6290</v>
      </c>
      <c r="AC93" s="13">
        <v>1121</v>
      </c>
      <c r="AD93" s="13">
        <f t="shared" si="83"/>
        <v>7411</v>
      </c>
      <c r="AE93" s="13"/>
      <c r="AF93" s="13">
        <f t="shared" si="80"/>
        <v>7411</v>
      </c>
      <c r="AG93" s="13"/>
      <c r="AH93" s="13">
        <f t="shared" si="81"/>
        <v>7411</v>
      </c>
      <c r="AI93" s="13">
        <v>0</v>
      </c>
      <c r="AJ93" s="13"/>
      <c r="AK93" s="13">
        <f t="shared" si="78"/>
        <v>0</v>
      </c>
      <c r="AL93" s="12"/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  <c r="BF93" s="18"/>
      <c r="BG93" s="18"/>
      <c r="BH93" s="18"/>
    </row>
    <row r="94" spans="1:60" ht="16.5" customHeight="1">
      <c r="A94" s="12" t="s">
        <v>65</v>
      </c>
      <c r="B94" s="13"/>
      <c r="C94" s="379">
        <f>SUM(B94:B94)</f>
        <v>0</v>
      </c>
      <c r="D94" s="379">
        <f>216+1404</f>
        <v>1620</v>
      </c>
      <c r="E94" s="379">
        <f t="shared" ref="E94:E96" si="99">SUM(C94:D94)</f>
        <v>1620</v>
      </c>
      <c r="F94" s="379"/>
      <c r="G94" s="379">
        <f t="shared" si="87"/>
        <v>1620</v>
      </c>
      <c r="H94" s="379"/>
      <c r="I94" s="379">
        <f t="shared" si="95"/>
        <v>1620</v>
      </c>
      <c r="J94" s="379"/>
      <c r="K94" s="379">
        <f t="shared" si="96"/>
        <v>1620</v>
      </c>
      <c r="L94" s="379"/>
      <c r="M94" s="379">
        <f t="shared" si="82"/>
        <v>1620</v>
      </c>
      <c r="N94" s="379"/>
      <c r="O94" s="379">
        <v>71458</v>
      </c>
      <c r="P94" s="379">
        <f>(P86+P90+P92+P87)*0.27</f>
        <v>75690.990000000005</v>
      </c>
      <c r="Q94" s="379"/>
      <c r="R94" s="379">
        <f t="shared" si="98"/>
        <v>75690.990000000005</v>
      </c>
      <c r="S94" s="379"/>
      <c r="T94" s="379">
        <f t="shared" si="91"/>
        <v>75690.990000000005</v>
      </c>
      <c r="U94" s="379"/>
      <c r="V94" s="13">
        <f t="shared" si="74"/>
        <v>75690.990000000005</v>
      </c>
      <c r="W94" s="13"/>
      <c r="X94" s="13">
        <f t="shared" si="88"/>
        <v>75690.990000000005</v>
      </c>
      <c r="Y94" s="13"/>
      <c r="Z94" s="13">
        <f t="shared" si="92"/>
        <v>75690.990000000005</v>
      </c>
      <c r="AA94" s="13"/>
      <c r="AB94" s="13">
        <f t="shared" si="85"/>
        <v>75690.990000000005</v>
      </c>
      <c r="AC94" s="13"/>
      <c r="AD94" s="13">
        <f t="shared" si="83"/>
        <v>75690.990000000005</v>
      </c>
      <c r="AE94" s="13"/>
      <c r="AF94" s="13">
        <f t="shared" si="80"/>
        <v>75690.990000000005</v>
      </c>
      <c r="AG94" s="13"/>
      <c r="AH94" s="13">
        <f t="shared" si="81"/>
        <v>75690.990000000005</v>
      </c>
      <c r="AI94" s="13">
        <f>33197+69733-6714</f>
        <v>96216</v>
      </c>
      <c r="AJ94" s="13"/>
      <c r="AK94" s="13">
        <f t="shared" si="78"/>
        <v>96216</v>
      </c>
      <c r="AL94" s="12"/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  <c r="BB94" s="18"/>
      <c r="BC94" s="18"/>
      <c r="BD94" s="18"/>
      <c r="BE94" s="18"/>
      <c r="BF94" s="18"/>
      <c r="BG94" s="18"/>
      <c r="BH94" s="18"/>
    </row>
    <row r="95" spans="1:60">
      <c r="A95" s="12" t="s">
        <v>66</v>
      </c>
      <c r="B95" s="13"/>
      <c r="C95" s="379">
        <f>SUM(B95:B95)</f>
        <v>0</v>
      </c>
      <c r="D95" s="379">
        <f>8640-216-1404</f>
        <v>7020</v>
      </c>
      <c r="E95" s="379">
        <f t="shared" si="99"/>
        <v>7020</v>
      </c>
      <c r="F95" s="379"/>
      <c r="G95" s="379">
        <f t="shared" si="87"/>
        <v>7020</v>
      </c>
      <c r="H95" s="379"/>
      <c r="I95" s="379">
        <f t="shared" si="95"/>
        <v>7020</v>
      </c>
      <c r="J95" s="379">
        <v>21600</v>
      </c>
      <c r="K95" s="379">
        <f t="shared" si="96"/>
        <v>28620</v>
      </c>
      <c r="L95" s="379"/>
      <c r="M95" s="379">
        <f t="shared" si="82"/>
        <v>28620</v>
      </c>
      <c r="N95" s="379"/>
      <c r="O95" s="379">
        <v>95981</v>
      </c>
      <c r="P95" s="379">
        <v>203692</v>
      </c>
      <c r="Q95" s="379"/>
      <c r="R95" s="379">
        <f t="shared" si="98"/>
        <v>203692</v>
      </c>
      <c r="S95" s="379">
        <v>757</v>
      </c>
      <c r="T95" s="379">
        <f t="shared" si="91"/>
        <v>204449</v>
      </c>
      <c r="U95" s="379">
        <v>3017</v>
      </c>
      <c r="V95" s="13">
        <f t="shared" si="74"/>
        <v>207466</v>
      </c>
      <c r="W95" s="13"/>
      <c r="X95" s="13">
        <f t="shared" si="88"/>
        <v>207466</v>
      </c>
      <c r="Y95" s="13"/>
      <c r="Z95" s="13">
        <f t="shared" si="92"/>
        <v>207466</v>
      </c>
      <c r="AA95" s="13"/>
      <c r="AB95" s="13">
        <f t="shared" si="85"/>
        <v>207466</v>
      </c>
      <c r="AC95" s="13"/>
      <c r="AD95" s="13">
        <f t="shared" si="83"/>
        <v>207466</v>
      </c>
      <c r="AE95" s="13"/>
      <c r="AF95" s="13">
        <f t="shared" si="80"/>
        <v>207466</v>
      </c>
      <c r="AG95" s="13"/>
      <c r="AH95" s="13">
        <v>207466</v>
      </c>
      <c r="AI95" s="379">
        <v>0</v>
      </c>
      <c r="AJ95" s="379"/>
      <c r="AK95" s="13">
        <f t="shared" si="78"/>
        <v>0</v>
      </c>
      <c r="AL95" s="12"/>
      <c r="AM95" s="18"/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  <c r="BB95" s="18"/>
      <c r="BC95" s="18"/>
      <c r="BD95" s="18"/>
      <c r="BE95" s="18"/>
      <c r="BF95" s="18"/>
      <c r="BG95" s="18"/>
      <c r="BH95" s="18"/>
    </row>
    <row r="96" spans="1:60" ht="30">
      <c r="A96" s="12" t="s">
        <v>820</v>
      </c>
      <c r="B96" s="13"/>
      <c r="C96" s="379">
        <f>SUM(B96:B96)</f>
        <v>0</v>
      </c>
      <c r="D96" s="379"/>
      <c r="E96" s="379">
        <f t="shared" si="99"/>
        <v>0</v>
      </c>
      <c r="F96" s="379">
        <v>40000</v>
      </c>
      <c r="G96" s="379">
        <f t="shared" si="87"/>
        <v>40000</v>
      </c>
      <c r="H96" s="379"/>
      <c r="I96" s="379">
        <f t="shared" si="95"/>
        <v>40000</v>
      </c>
      <c r="J96" s="379"/>
      <c r="K96" s="379">
        <f t="shared" si="96"/>
        <v>40000</v>
      </c>
      <c r="L96" s="379"/>
      <c r="M96" s="379">
        <f t="shared" si="82"/>
        <v>40000</v>
      </c>
      <c r="N96" s="379"/>
      <c r="O96" s="379">
        <f t="shared" si="97"/>
        <v>40000</v>
      </c>
      <c r="P96" s="379">
        <v>500</v>
      </c>
      <c r="Q96" s="379"/>
      <c r="R96" s="379">
        <f t="shared" si="98"/>
        <v>500</v>
      </c>
      <c r="S96" s="379"/>
      <c r="T96" s="379">
        <f t="shared" si="91"/>
        <v>500</v>
      </c>
      <c r="U96" s="379"/>
      <c r="V96" s="13">
        <f t="shared" si="74"/>
        <v>500</v>
      </c>
      <c r="W96" s="13">
        <v>1588</v>
      </c>
      <c r="X96" s="13">
        <f t="shared" si="88"/>
        <v>2088</v>
      </c>
      <c r="Y96" s="13"/>
      <c r="Z96" s="13">
        <f t="shared" si="92"/>
        <v>2088</v>
      </c>
      <c r="AA96" s="13"/>
      <c r="AB96" s="13">
        <f t="shared" si="85"/>
        <v>2088</v>
      </c>
      <c r="AC96" s="13"/>
      <c r="AD96" s="13">
        <f t="shared" si="83"/>
        <v>2088</v>
      </c>
      <c r="AE96" s="13"/>
      <c r="AF96" s="13">
        <f t="shared" si="80"/>
        <v>2088</v>
      </c>
      <c r="AG96" s="13"/>
      <c r="AH96" s="13">
        <f t="shared" si="81"/>
        <v>2088</v>
      </c>
      <c r="AI96" s="13">
        <v>628</v>
      </c>
      <c r="AJ96" s="13"/>
      <c r="AK96" s="13">
        <f t="shared" si="78"/>
        <v>628</v>
      </c>
      <c r="AL96" s="12"/>
      <c r="AM96" s="18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  <c r="BF96" s="18"/>
      <c r="BG96" s="18"/>
      <c r="BH96" s="18"/>
    </row>
    <row r="97" spans="1:77">
      <c r="A97" s="10" t="s">
        <v>67</v>
      </c>
      <c r="B97" s="20" t="e">
        <f>B98+#REF!+#REF!</f>
        <v>#REF!</v>
      </c>
      <c r="C97" s="20" t="e">
        <f>C98+#REF!+#REF!</f>
        <v>#REF!</v>
      </c>
      <c r="D97" s="20" t="e">
        <f>D98+#REF!+#REF!</f>
        <v>#REF!</v>
      </c>
      <c r="E97" s="20" t="e">
        <f>E98+#REF!+#REF!</f>
        <v>#REF!</v>
      </c>
      <c r="F97" s="20" t="e">
        <f>F98+#REF!+#REF!</f>
        <v>#REF!</v>
      </c>
      <c r="G97" s="20" t="e">
        <f>G98+#REF!+#REF!</f>
        <v>#REF!</v>
      </c>
      <c r="H97" s="20" t="e">
        <f>H98+#REF!+#REF!</f>
        <v>#REF!</v>
      </c>
      <c r="I97" s="20" t="e">
        <f>I98+#REF!+#REF!</f>
        <v>#REF!</v>
      </c>
      <c r="J97" s="20" t="e">
        <f>J98+#REF!+#REF!</f>
        <v>#REF!</v>
      </c>
      <c r="K97" s="20" t="e">
        <f>K98+#REF!+#REF!</f>
        <v>#REF!</v>
      </c>
      <c r="L97" s="20" t="e">
        <f>L98+#REF!+#REF!</f>
        <v>#REF!</v>
      </c>
      <c r="M97" s="20" t="e">
        <f>M98+#REF!+#REF!</f>
        <v>#REF!</v>
      </c>
      <c r="N97" s="20" t="e">
        <f>N98+#REF!+#REF!</f>
        <v>#REF!</v>
      </c>
      <c r="O97" s="20" t="e">
        <f>O98+#REF!+#REF!</f>
        <v>#REF!</v>
      </c>
      <c r="P97" s="20">
        <f>P98</f>
        <v>150000</v>
      </c>
      <c r="Q97" s="20">
        <f t="shared" ref="Q97:AK97" si="100">Q98</f>
        <v>0</v>
      </c>
      <c r="R97" s="20">
        <f t="shared" si="100"/>
        <v>150000</v>
      </c>
      <c r="S97" s="20">
        <f t="shared" si="100"/>
        <v>0</v>
      </c>
      <c r="T97" s="20">
        <f t="shared" si="100"/>
        <v>150000</v>
      </c>
      <c r="U97" s="20">
        <f t="shared" si="100"/>
        <v>0</v>
      </c>
      <c r="V97" s="20">
        <f t="shared" si="100"/>
        <v>150000</v>
      </c>
      <c r="W97" s="20">
        <f t="shared" si="100"/>
        <v>0</v>
      </c>
      <c r="X97" s="20">
        <f t="shared" si="100"/>
        <v>150000</v>
      </c>
      <c r="Y97" s="20">
        <f t="shared" si="100"/>
        <v>0</v>
      </c>
      <c r="Z97" s="20">
        <f t="shared" si="100"/>
        <v>150000</v>
      </c>
      <c r="AA97" s="20">
        <f t="shared" si="100"/>
        <v>0</v>
      </c>
      <c r="AB97" s="20">
        <f t="shared" si="100"/>
        <v>150000</v>
      </c>
      <c r="AC97" s="20">
        <f t="shared" si="100"/>
        <v>0</v>
      </c>
      <c r="AD97" s="20">
        <f t="shared" si="100"/>
        <v>150000</v>
      </c>
      <c r="AE97" s="20">
        <f t="shared" si="100"/>
        <v>0</v>
      </c>
      <c r="AF97" s="20">
        <f t="shared" si="100"/>
        <v>150000</v>
      </c>
      <c r="AG97" s="20">
        <f t="shared" si="100"/>
        <v>0</v>
      </c>
      <c r="AH97" s="20">
        <f t="shared" si="100"/>
        <v>150000</v>
      </c>
      <c r="AI97" s="20">
        <f t="shared" si="100"/>
        <v>172952</v>
      </c>
      <c r="AJ97" s="20">
        <f t="shared" si="100"/>
        <v>0</v>
      </c>
      <c r="AK97" s="20">
        <f t="shared" si="100"/>
        <v>172952</v>
      </c>
      <c r="AL97" s="12"/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  <c r="BF97" s="18"/>
      <c r="BG97" s="18"/>
      <c r="BH97" s="18"/>
    </row>
    <row r="98" spans="1:77">
      <c r="A98" s="12" t="s">
        <v>68</v>
      </c>
      <c r="B98" s="13">
        <f t="shared" ref="B98:AK98" si="101">B99</f>
        <v>0</v>
      </c>
      <c r="C98" s="13">
        <f t="shared" si="101"/>
        <v>0</v>
      </c>
      <c r="D98" s="13">
        <f t="shared" si="101"/>
        <v>0</v>
      </c>
      <c r="E98" s="13">
        <f t="shared" si="101"/>
        <v>0</v>
      </c>
      <c r="F98" s="13">
        <f t="shared" si="101"/>
        <v>0</v>
      </c>
      <c r="G98" s="13">
        <f t="shared" si="101"/>
        <v>0</v>
      </c>
      <c r="H98" s="13">
        <f t="shared" si="101"/>
        <v>0</v>
      </c>
      <c r="I98" s="13">
        <f t="shared" si="101"/>
        <v>0</v>
      </c>
      <c r="J98" s="13">
        <f t="shared" si="101"/>
        <v>0</v>
      </c>
      <c r="K98" s="13">
        <f t="shared" si="101"/>
        <v>0</v>
      </c>
      <c r="L98" s="13">
        <f t="shared" si="101"/>
        <v>0</v>
      </c>
      <c r="M98" s="13">
        <f t="shared" si="101"/>
        <v>0</v>
      </c>
      <c r="N98" s="13">
        <f t="shared" si="101"/>
        <v>0</v>
      </c>
      <c r="O98" s="13" t="e">
        <f>O99+#REF!</f>
        <v>#REF!</v>
      </c>
      <c r="P98" s="13">
        <f t="shared" si="101"/>
        <v>150000</v>
      </c>
      <c r="Q98" s="13">
        <f t="shared" si="101"/>
        <v>0</v>
      </c>
      <c r="R98" s="13">
        <f t="shared" si="101"/>
        <v>150000</v>
      </c>
      <c r="S98" s="13">
        <f t="shared" si="101"/>
        <v>0</v>
      </c>
      <c r="T98" s="13">
        <f t="shared" si="101"/>
        <v>150000</v>
      </c>
      <c r="U98" s="13">
        <f t="shared" si="101"/>
        <v>0</v>
      </c>
      <c r="V98" s="13">
        <f t="shared" si="101"/>
        <v>150000</v>
      </c>
      <c r="W98" s="13">
        <f t="shared" si="101"/>
        <v>0</v>
      </c>
      <c r="X98" s="13">
        <f t="shared" si="101"/>
        <v>150000</v>
      </c>
      <c r="Y98" s="13">
        <f t="shared" si="101"/>
        <v>0</v>
      </c>
      <c r="Z98" s="13">
        <f t="shared" si="101"/>
        <v>150000</v>
      </c>
      <c r="AA98" s="13">
        <f t="shared" si="101"/>
        <v>0</v>
      </c>
      <c r="AB98" s="13">
        <f t="shared" si="101"/>
        <v>150000</v>
      </c>
      <c r="AC98" s="13">
        <f t="shared" si="101"/>
        <v>0</v>
      </c>
      <c r="AD98" s="13">
        <f t="shared" si="101"/>
        <v>150000</v>
      </c>
      <c r="AE98" s="13">
        <f t="shared" si="101"/>
        <v>0</v>
      </c>
      <c r="AF98" s="13">
        <f t="shared" si="101"/>
        <v>150000</v>
      </c>
      <c r="AG98" s="13">
        <f t="shared" si="101"/>
        <v>0</v>
      </c>
      <c r="AH98" s="13">
        <f t="shared" si="101"/>
        <v>150000</v>
      </c>
      <c r="AI98" s="13">
        <f t="shared" si="101"/>
        <v>172952</v>
      </c>
      <c r="AJ98" s="13">
        <f t="shared" si="101"/>
        <v>0</v>
      </c>
      <c r="AK98" s="13">
        <f t="shared" si="101"/>
        <v>172952</v>
      </c>
      <c r="AL98" s="12"/>
      <c r="AM98" s="18"/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  <c r="BB98" s="18"/>
      <c r="BC98" s="18"/>
      <c r="BD98" s="18"/>
      <c r="BE98" s="18"/>
      <c r="BF98" s="18"/>
      <c r="BG98" s="18"/>
      <c r="BH98" s="18"/>
    </row>
    <row r="99" spans="1:77">
      <c r="A99" s="12" t="s">
        <v>69</v>
      </c>
      <c r="B99" s="13"/>
      <c r="C99" s="192">
        <f>SUM(B99:B99)</f>
        <v>0</v>
      </c>
      <c r="D99" s="192"/>
      <c r="E99" s="192">
        <f>SUM(C99:D99)</f>
        <v>0</v>
      </c>
      <c r="F99" s="192"/>
      <c r="G99" s="379">
        <f t="shared" si="87"/>
        <v>0</v>
      </c>
      <c r="H99" s="379"/>
      <c r="I99" s="379">
        <f>SUM(G99:H99)</f>
        <v>0</v>
      </c>
      <c r="J99" s="379"/>
      <c r="K99" s="379">
        <f>SUM(I99:J99)</f>
        <v>0</v>
      </c>
      <c r="L99" s="379"/>
      <c r="M99" s="379">
        <f t="shared" si="82"/>
        <v>0</v>
      </c>
      <c r="N99" s="379"/>
      <c r="O99" s="379">
        <f t="shared" ref="O99:O108" si="102">SUM(M99:N99)</f>
        <v>0</v>
      </c>
      <c r="P99" s="379">
        <v>150000</v>
      </c>
      <c r="Q99" s="379"/>
      <c r="R99" s="379">
        <f>SUM(P99:Q99)</f>
        <v>150000</v>
      </c>
      <c r="S99" s="379"/>
      <c r="T99" s="379">
        <f t="shared" si="91"/>
        <v>150000</v>
      </c>
      <c r="U99" s="379"/>
      <c r="V99" s="13">
        <f t="shared" si="74"/>
        <v>150000</v>
      </c>
      <c r="W99" s="13"/>
      <c r="X99" s="13">
        <f t="shared" si="88"/>
        <v>150000</v>
      </c>
      <c r="Y99" s="13"/>
      <c r="Z99" s="13">
        <f t="shared" si="92"/>
        <v>150000</v>
      </c>
      <c r="AA99" s="13"/>
      <c r="AB99" s="13">
        <f t="shared" si="85"/>
        <v>150000</v>
      </c>
      <c r="AC99" s="13"/>
      <c r="AD99" s="13">
        <f t="shared" si="83"/>
        <v>150000</v>
      </c>
      <c r="AE99" s="13"/>
      <c r="AF99" s="13">
        <f t="shared" si="80"/>
        <v>150000</v>
      </c>
      <c r="AG99" s="13"/>
      <c r="AH99" s="13">
        <f t="shared" si="81"/>
        <v>150000</v>
      </c>
      <c r="AI99" s="13">
        <f>122952+50000</f>
        <v>172952</v>
      </c>
      <c r="AJ99" s="13"/>
      <c r="AK99" s="13">
        <f t="shared" si="78"/>
        <v>172952</v>
      </c>
      <c r="AL99" s="12"/>
      <c r="AM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  <c r="BF99" s="18"/>
      <c r="BG99" s="18"/>
      <c r="BH99" s="18"/>
    </row>
    <row r="100" spans="1:77">
      <c r="A100" s="10" t="s">
        <v>70</v>
      </c>
      <c r="B100" s="20">
        <f t="shared" ref="B100:M100" si="103">B105</f>
        <v>0</v>
      </c>
      <c r="C100" s="20">
        <f t="shared" si="103"/>
        <v>0</v>
      </c>
      <c r="D100" s="20">
        <f t="shared" si="103"/>
        <v>0</v>
      </c>
      <c r="E100" s="20">
        <f t="shared" si="103"/>
        <v>0</v>
      </c>
      <c r="F100" s="20">
        <f t="shared" si="103"/>
        <v>0</v>
      </c>
      <c r="G100" s="20">
        <f t="shared" si="103"/>
        <v>0</v>
      </c>
      <c r="H100" s="20">
        <f t="shared" si="103"/>
        <v>0</v>
      </c>
      <c r="I100" s="20">
        <f t="shared" si="103"/>
        <v>0</v>
      </c>
      <c r="J100" s="20">
        <f t="shared" si="103"/>
        <v>0</v>
      </c>
      <c r="K100" s="20">
        <f t="shared" si="103"/>
        <v>0</v>
      </c>
      <c r="L100" s="20">
        <f t="shared" si="103"/>
        <v>0</v>
      </c>
      <c r="M100" s="20">
        <f t="shared" si="103"/>
        <v>0</v>
      </c>
      <c r="N100" s="20"/>
      <c r="O100" s="21">
        <f t="shared" si="102"/>
        <v>0</v>
      </c>
      <c r="P100" s="21">
        <f t="shared" ref="P100:AK100" si="104">P101+P105</f>
        <v>0</v>
      </c>
      <c r="Q100" s="21">
        <f t="shared" si="104"/>
        <v>3381</v>
      </c>
      <c r="R100" s="21">
        <f t="shared" si="104"/>
        <v>3381</v>
      </c>
      <c r="S100" s="21">
        <f t="shared" si="104"/>
        <v>13851</v>
      </c>
      <c r="T100" s="21">
        <f t="shared" si="104"/>
        <v>17232</v>
      </c>
      <c r="U100" s="21">
        <f t="shared" si="104"/>
        <v>2811</v>
      </c>
      <c r="V100" s="21">
        <f t="shared" si="104"/>
        <v>20043</v>
      </c>
      <c r="W100" s="21">
        <f t="shared" si="104"/>
        <v>595</v>
      </c>
      <c r="X100" s="21">
        <f t="shared" si="104"/>
        <v>20638</v>
      </c>
      <c r="Y100" s="21">
        <f t="shared" si="104"/>
        <v>45000</v>
      </c>
      <c r="Z100" s="21">
        <f t="shared" si="104"/>
        <v>65638</v>
      </c>
      <c r="AA100" s="21">
        <f t="shared" si="104"/>
        <v>10869</v>
      </c>
      <c r="AB100" s="21">
        <f t="shared" si="104"/>
        <v>76507</v>
      </c>
      <c r="AC100" s="21">
        <f t="shared" si="104"/>
        <v>0</v>
      </c>
      <c r="AD100" s="21">
        <f t="shared" si="104"/>
        <v>76507</v>
      </c>
      <c r="AE100" s="21">
        <f t="shared" si="104"/>
        <v>0</v>
      </c>
      <c r="AF100" s="21">
        <f t="shared" si="104"/>
        <v>76507</v>
      </c>
      <c r="AG100" s="21">
        <f t="shared" si="104"/>
        <v>-36545</v>
      </c>
      <c r="AH100" s="21">
        <f t="shared" si="104"/>
        <v>39962</v>
      </c>
      <c r="AI100" s="21">
        <f t="shared" si="104"/>
        <v>36544</v>
      </c>
      <c r="AJ100" s="21">
        <f t="shared" si="104"/>
        <v>0</v>
      </c>
      <c r="AK100" s="21">
        <f t="shared" si="104"/>
        <v>36544</v>
      </c>
      <c r="AL100" s="12"/>
      <c r="AM100" s="18"/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  <c r="BF100" s="18"/>
      <c r="BG100" s="18"/>
      <c r="BH100" s="18"/>
    </row>
    <row r="101" spans="1:77" ht="30">
      <c r="A101" s="375" t="s">
        <v>562</v>
      </c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1"/>
      <c r="P101" s="379"/>
      <c r="Q101" s="379">
        <f>Q102+Q103</f>
        <v>3381</v>
      </c>
      <c r="R101" s="379">
        <f>R102+R103</f>
        <v>3381</v>
      </c>
      <c r="S101" s="379">
        <f t="shared" ref="S101:X101" si="105">S102+S103</f>
        <v>0</v>
      </c>
      <c r="T101" s="379">
        <f t="shared" si="105"/>
        <v>3381</v>
      </c>
      <c r="U101" s="379">
        <f t="shared" si="105"/>
        <v>2295</v>
      </c>
      <c r="V101" s="379">
        <f t="shared" si="105"/>
        <v>5676</v>
      </c>
      <c r="W101" s="379">
        <f t="shared" si="105"/>
        <v>0</v>
      </c>
      <c r="X101" s="379">
        <f t="shared" si="105"/>
        <v>5676</v>
      </c>
      <c r="Y101" s="379">
        <f>Y102+Y103+Y104</f>
        <v>40000</v>
      </c>
      <c r="Z101" s="379">
        <f>Z102+Z103+Z104</f>
        <v>45676</v>
      </c>
      <c r="AA101" s="379">
        <f t="shared" ref="AA101:AB101" si="106">AA102+AA103+AA104</f>
        <v>10869</v>
      </c>
      <c r="AB101" s="379">
        <f t="shared" si="106"/>
        <v>56545</v>
      </c>
      <c r="AC101" s="379"/>
      <c r="AD101" s="13">
        <f t="shared" si="83"/>
        <v>56545</v>
      </c>
      <c r="AE101" s="13"/>
      <c r="AF101" s="13">
        <f>AF102+AF103+AF104</f>
        <v>56545</v>
      </c>
      <c r="AG101" s="13">
        <f t="shared" ref="AG101:AI101" si="107">AG102+AG103+AG104</f>
        <v>-36545</v>
      </c>
      <c r="AH101" s="13">
        <f t="shared" si="107"/>
        <v>20000</v>
      </c>
      <c r="AI101" s="13">
        <f t="shared" si="107"/>
        <v>36544</v>
      </c>
      <c r="AJ101" s="13"/>
      <c r="AK101" s="13">
        <f t="shared" si="78"/>
        <v>36544</v>
      </c>
      <c r="AL101" s="12"/>
      <c r="AM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  <c r="BF101" s="18"/>
      <c r="BG101" s="18"/>
      <c r="BH101" s="18"/>
    </row>
    <row r="102" spans="1:77">
      <c r="A102" s="12" t="s">
        <v>791</v>
      </c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1"/>
      <c r="P102" s="379"/>
      <c r="Q102" s="379">
        <v>3000</v>
      </c>
      <c r="R102" s="379">
        <f t="shared" ref="R102:R108" si="108">SUM(P102:Q102)</f>
        <v>3000</v>
      </c>
      <c r="S102" s="379"/>
      <c r="T102" s="379">
        <f t="shared" si="91"/>
        <v>3000</v>
      </c>
      <c r="U102" s="379"/>
      <c r="V102" s="13">
        <f t="shared" si="74"/>
        <v>3000</v>
      </c>
      <c r="W102" s="13"/>
      <c r="X102" s="13">
        <f t="shared" si="88"/>
        <v>3000</v>
      </c>
      <c r="Y102" s="13"/>
      <c r="Z102" s="13">
        <f t="shared" si="92"/>
        <v>3000</v>
      </c>
      <c r="AA102" s="13"/>
      <c r="AB102" s="13">
        <f t="shared" si="85"/>
        <v>3000</v>
      </c>
      <c r="AC102" s="13"/>
      <c r="AD102" s="13">
        <f t="shared" si="83"/>
        <v>3000</v>
      </c>
      <c r="AE102" s="13"/>
      <c r="AF102" s="13">
        <f t="shared" si="80"/>
        <v>3000</v>
      </c>
      <c r="AG102" s="13">
        <v>-3000</v>
      </c>
      <c r="AH102" s="13">
        <f t="shared" si="81"/>
        <v>0</v>
      </c>
      <c r="AI102" s="13">
        <v>3000</v>
      </c>
      <c r="AJ102" s="13"/>
      <c r="AK102" s="13">
        <f t="shared" si="78"/>
        <v>3000</v>
      </c>
      <c r="AL102" s="12"/>
      <c r="AM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  <c r="BF102" s="18"/>
      <c r="BG102" s="18"/>
      <c r="BH102" s="18"/>
    </row>
    <row r="103" spans="1:77">
      <c r="A103" s="12" t="s">
        <v>792</v>
      </c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1"/>
      <c r="P103" s="379"/>
      <c r="Q103" s="379">
        <v>381</v>
      </c>
      <c r="R103" s="379">
        <f>SUM(Q103)</f>
        <v>381</v>
      </c>
      <c r="S103" s="379"/>
      <c r="T103" s="379">
        <f t="shared" si="91"/>
        <v>381</v>
      </c>
      <c r="U103" s="379">
        <v>2295</v>
      </c>
      <c r="V103" s="13">
        <f t="shared" si="74"/>
        <v>2676</v>
      </c>
      <c r="W103" s="13"/>
      <c r="X103" s="13">
        <f t="shared" si="88"/>
        <v>2676</v>
      </c>
      <c r="Y103" s="13"/>
      <c r="Z103" s="13">
        <f t="shared" si="92"/>
        <v>2676</v>
      </c>
      <c r="AA103" s="13">
        <v>10869</v>
      </c>
      <c r="AB103" s="13">
        <f t="shared" si="85"/>
        <v>13545</v>
      </c>
      <c r="AC103" s="13"/>
      <c r="AD103" s="13">
        <f t="shared" si="83"/>
        <v>13545</v>
      </c>
      <c r="AE103" s="13"/>
      <c r="AF103" s="13">
        <f t="shared" si="80"/>
        <v>13545</v>
      </c>
      <c r="AG103" s="13">
        <f>-11250-2295</f>
        <v>-13545</v>
      </c>
      <c r="AH103" s="13">
        <f t="shared" si="81"/>
        <v>0</v>
      </c>
      <c r="AI103" s="13">
        <f>10869+381+2294</f>
        <v>13544</v>
      </c>
      <c r="AJ103" s="13"/>
      <c r="AK103" s="13">
        <f t="shared" si="78"/>
        <v>13544</v>
      </c>
      <c r="AL103" s="12"/>
      <c r="AM103" s="18"/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  <c r="BF103" s="18"/>
      <c r="BG103" s="18"/>
      <c r="BH103" s="18"/>
    </row>
    <row r="104" spans="1:77">
      <c r="A104" s="12" t="s">
        <v>793</v>
      </c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1"/>
      <c r="P104" s="379"/>
      <c r="Q104" s="379"/>
      <c r="R104" s="379"/>
      <c r="S104" s="379"/>
      <c r="T104" s="379"/>
      <c r="U104" s="379"/>
      <c r="V104" s="13"/>
      <c r="W104" s="13"/>
      <c r="X104" s="13"/>
      <c r="Y104" s="13">
        <v>40000</v>
      </c>
      <c r="Z104" s="13">
        <f>SUM(X104:Y104)</f>
        <v>40000</v>
      </c>
      <c r="AA104" s="13"/>
      <c r="AB104" s="13">
        <f t="shared" si="85"/>
        <v>40000</v>
      </c>
      <c r="AC104" s="13"/>
      <c r="AD104" s="13">
        <f t="shared" si="83"/>
        <v>40000</v>
      </c>
      <c r="AE104" s="13"/>
      <c r="AF104" s="13">
        <f t="shared" si="80"/>
        <v>40000</v>
      </c>
      <c r="AG104" s="13">
        <v>-20000</v>
      </c>
      <c r="AH104" s="13">
        <f t="shared" si="81"/>
        <v>20000</v>
      </c>
      <c r="AI104" s="13">
        <v>20000</v>
      </c>
      <c r="AJ104" s="13"/>
      <c r="AK104" s="13">
        <f t="shared" si="78"/>
        <v>20000</v>
      </c>
      <c r="AL104" s="12"/>
      <c r="AM104" s="18"/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  <c r="BB104" s="18"/>
      <c r="BC104" s="18"/>
      <c r="BD104" s="18"/>
      <c r="BE104" s="18"/>
      <c r="BF104" s="18"/>
      <c r="BG104" s="18"/>
      <c r="BH104" s="18"/>
    </row>
    <row r="105" spans="1:77">
      <c r="A105" s="12" t="s">
        <v>408</v>
      </c>
      <c r="B105" s="13"/>
      <c r="C105" s="379">
        <f>SUM(B105:B105)</f>
        <v>0</v>
      </c>
      <c r="D105" s="379"/>
      <c r="E105" s="379">
        <f>SUM(C105:D105)</f>
        <v>0</v>
      </c>
      <c r="F105" s="379"/>
      <c r="G105" s="379">
        <f t="shared" si="87"/>
        <v>0</v>
      </c>
      <c r="H105" s="379"/>
      <c r="I105" s="379">
        <f>SUM(G105:H105)</f>
        <v>0</v>
      </c>
      <c r="J105" s="379"/>
      <c r="K105" s="379">
        <f>SUM(I105:J105)</f>
        <v>0</v>
      </c>
      <c r="L105" s="379"/>
      <c r="M105" s="379">
        <f t="shared" si="82"/>
        <v>0</v>
      </c>
      <c r="N105" s="379"/>
      <c r="O105" s="379">
        <f t="shared" si="102"/>
        <v>0</v>
      </c>
      <c r="P105" s="379"/>
      <c r="Q105" s="379"/>
      <c r="R105" s="379">
        <f>R106+R107+R108</f>
        <v>0</v>
      </c>
      <c r="S105" s="379">
        <f>S106+S107+S108+S109+S110</f>
        <v>13851</v>
      </c>
      <c r="T105" s="379">
        <f>T106+T107+T108+T109+T110</f>
        <v>13851</v>
      </c>
      <c r="U105" s="379">
        <f>U106+U107+U108+U109+U110+U111</f>
        <v>516</v>
      </c>
      <c r="V105" s="379">
        <f>V106+V107+V108+V109+V110+V111</f>
        <v>14367</v>
      </c>
      <c r="W105" s="379">
        <f t="shared" ref="W105:X105" si="109">W106+W107+W108+W109+W110+W111</f>
        <v>595</v>
      </c>
      <c r="X105" s="379">
        <f t="shared" si="109"/>
        <v>14962</v>
      </c>
      <c r="Y105" s="379">
        <f>Y106+Y107+Y108+Y109+Y110+Y111+Y112</f>
        <v>5000</v>
      </c>
      <c r="Z105" s="379">
        <f>Z106+Z107+Z108+Z109+Z110+Z111+Z112</f>
        <v>19962</v>
      </c>
      <c r="AA105" s="379"/>
      <c r="AB105" s="13">
        <f>SUM(AB106:AB112)</f>
        <v>19962</v>
      </c>
      <c r="AC105" s="13">
        <f t="shared" ref="AC105:AH105" si="110">SUM(AC106:AC112)</f>
        <v>0</v>
      </c>
      <c r="AD105" s="13">
        <f t="shared" si="110"/>
        <v>19962</v>
      </c>
      <c r="AE105" s="13">
        <f t="shared" si="110"/>
        <v>0</v>
      </c>
      <c r="AF105" s="13">
        <f t="shared" si="110"/>
        <v>19962</v>
      </c>
      <c r="AG105" s="13">
        <f t="shared" si="110"/>
        <v>0</v>
      </c>
      <c r="AH105" s="13">
        <f t="shared" si="110"/>
        <v>19962</v>
      </c>
      <c r="AI105" s="13">
        <f>AI106+AI107+AI108+AI109+AI110+AI111+AI112</f>
        <v>0</v>
      </c>
      <c r="AJ105" s="13"/>
      <c r="AK105" s="13">
        <f t="shared" si="78"/>
        <v>0</v>
      </c>
      <c r="AL105" s="25"/>
      <c r="AM105" s="18"/>
      <c r="AN105" s="18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8"/>
      <c r="AZ105" s="18"/>
      <c r="BA105" s="18"/>
      <c r="BB105" s="18"/>
      <c r="BC105" s="18"/>
      <c r="BD105" s="18"/>
      <c r="BE105" s="18"/>
      <c r="BF105" s="18"/>
      <c r="BG105" s="18"/>
      <c r="BH105" s="18"/>
    </row>
    <row r="106" spans="1:77" hidden="1">
      <c r="A106" s="12" t="s">
        <v>565</v>
      </c>
      <c r="B106" s="13"/>
      <c r="C106" s="378">
        <f>SUM(B106:B106)</f>
        <v>0</v>
      </c>
      <c r="D106" s="378"/>
      <c r="E106" s="378"/>
      <c r="F106" s="378"/>
      <c r="G106" s="379">
        <f t="shared" si="87"/>
        <v>0</v>
      </c>
      <c r="H106" s="379"/>
      <c r="I106" s="379">
        <f>SUM(G106:H106)</f>
        <v>0</v>
      </c>
      <c r="J106" s="379"/>
      <c r="K106" s="379">
        <f>SUM(I106:J106)</f>
        <v>0</v>
      </c>
      <c r="L106" s="379"/>
      <c r="M106" s="379">
        <f t="shared" si="82"/>
        <v>0</v>
      </c>
      <c r="N106" s="379"/>
      <c r="O106" s="379">
        <f t="shared" si="102"/>
        <v>0</v>
      </c>
      <c r="P106" s="379"/>
      <c r="Q106" s="379"/>
      <c r="R106" s="379">
        <f t="shared" si="108"/>
        <v>0</v>
      </c>
      <c r="S106" s="379">
        <v>595</v>
      </c>
      <c r="T106" s="379">
        <f t="shared" si="91"/>
        <v>595</v>
      </c>
      <c r="U106" s="379"/>
      <c r="V106" s="13">
        <f t="shared" si="74"/>
        <v>595</v>
      </c>
      <c r="W106" s="13">
        <v>595</v>
      </c>
      <c r="X106" s="13">
        <f t="shared" si="88"/>
        <v>1190</v>
      </c>
      <c r="Y106" s="13"/>
      <c r="Z106" s="13">
        <f t="shared" si="92"/>
        <v>1190</v>
      </c>
      <c r="AA106" s="13"/>
      <c r="AB106" s="13">
        <f t="shared" si="85"/>
        <v>1190</v>
      </c>
      <c r="AC106" s="13"/>
      <c r="AD106" s="13">
        <f t="shared" si="83"/>
        <v>1190</v>
      </c>
      <c r="AE106" s="13"/>
      <c r="AF106" s="13">
        <f t="shared" si="80"/>
        <v>1190</v>
      </c>
      <c r="AG106" s="13"/>
      <c r="AH106" s="13">
        <f t="shared" si="81"/>
        <v>1190</v>
      </c>
      <c r="AI106" s="13"/>
      <c r="AJ106" s="13"/>
      <c r="AK106" s="13">
        <f t="shared" si="78"/>
        <v>0</v>
      </c>
      <c r="AL106" s="25"/>
      <c r="AM106" s="18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  <c r="BF106" s="18"/>
      <c r="BG106" s="18"/>
      <c r="BH106" s="18"/>
      <c r="BI106" s="22"/>
      <c r="BJ106" s="22"/>
      <c r="BK106" s="22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  <c r="BW106" s="22"/>
      <c r="BX106" s="22"/>
      <c r="BY106" s="22"/>
    </row>
    <row r="107" spans="1:77" hidden="1">
      <c r="A107" s="12" t="s">
        <v>71</v>
      </c>
      <c r="B107" s="13"/>
      <c r="C107" s="378">
        <f>SUM(B107:B107)</f>
        <v>0</v>
      </c>
      <c r="D107" s="378"/>
      <c r="E107" s="378"/>
      <c r="F107" s="378"/>
      <c r="G107" s="379">
        <f t="shared" si="87"/>
        <v>0</v>
      </c>
      <c r="H107" s="379"/>
      <c r="I107" s="379">
        <f>SUM(G107:H107)</f>
        <v>0</v>
      </c>
      <c r="J107" s="379"/>
      <c r="K107" s="379">
        <f>SUM(I107:J107)</f>
        <v>0</v>
      </c>
      <c r="L107" s="379"/>
      <c r="M107" s="379">
        <f t="shared" si="82"/>
        <v>0</v>
      </c>
      <c r="N107" s="379"/>
      <c r="O107" s="379">
        <f t="shared" si="102"/>
        <v>0</v>
      </c>
      <c r="P107" s="379"/>
      <c r="Q107" s="379"/>
      <c r="R107" s="379">
        <f t="shared" si="108"/>
        <v>0</v>
      </c>
      <c r="S107" s="379"/>
      <c r="T107" s="379">
        <f t="shared" si="91"/>
        <v>0</v>
      </c>
      <c r="U107" s="379"/>
      <c r="V107" s="13">
        <f t="shared" si="74"/>
        <v>0</v>
      </c>
      <c r="W107" s="13"/>
      <c r="X107" s="13">
        <f t="shared" si="88"/>
        <v>0</v>
      </c>
      <c r="Y107" s="13"/>
      <c r="Z107" s="13">
        <f t="shared" si="92"/>
        <v>0</v>
      </c>
      <c r="AA107" s="13"/>
      <c r="AB107" s="13">
        <f t="shared" si="85"/>
        <v>0</v>
      </c>
      <c r="AC107" s="13"/>
      <c r="AD107" s="13">
        <f t="shared" si="83"/>
        <v>0</v>
      </c>
      <c r="AE107" s="13"/>
      <c r="AF107" s="13">
        <f t="shared" si="80"/>
        <v>0</v>
      </c>
      <c r="AG107" s="13"/>
      <c r="AH107" s="13">
        <f t="shared" si="81"/>
        <v>0</v>
      </c>
      <c r="AI107" s="13"/>
      <c r="AJ107" s="13"/>
      <c r="AK107" s="13">
        <f t="shared" si="78"/>
        <v>0</v>
      </c>
      <c r="AL107" s="25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  <c r="BG107" s="18"/>
      <c r="BH107" s="18"/>
      <c r="BI107" s="22"/>
      <c r="BJ107" s="22"/>
      <c r="BK107" s="22"/>
      <c r="BL107" s="22"/>
      <c r="BM107" s="22"/>
      <c r="BN107" s="22"/>
      <c r="BO107" s="22"/>
      <c r="BP107" s="22"/>
      <c r="BQ107" s="22"/>
      <c r="BR107" s="22"/>
      <c r="BS107" s="22"/>
      <c r="BT107" s="22"/>
      <c r="BU107" s="22"/>
      <c r="BV107" s="22"/>
      <c r="BW107" s="22"/>
      <c r="BX107" s="22"/>
      <c r="BY107" s="22"/>
    </row>
    <row r="108" spans="1:77" hidden="1">
      <c r="A108" s="12" t="s">
        <v>573</v>
      </c>
      <c r="B108" s="13"/>
      <c r="C108" s="378">
        <f>SUM(B108:B108)</f>
        <v>0</v>
      </c>
      <c r="D108" s="378"/>
      <c r="E108" s="378"/>
      <c r="F108" s="378"/>
      <c r="G108" s="379">
        <f t="shared" si="87"/>
        <v>0</v>
      </c>
      <c r="H108" s="379"/>
      <c r="I108" s="379">
        <f>SUM(G108:H108)</f>
        <v>0</v>
      </c>
      <c r="J108" s="379"/>
      <c r="K108" s="379">
        <f>SUM(I108:J108)</f>
        <v>0</v>
      </c>
      <c r="L108" s="379"/>
      <c r="M108" s="379">
        <f t="shared" si="82"/>
        <v>0</v>
      </c>
      <c r="N108" s="379"/>
      <c r="O108" s="379">
        <f t="shared" si="102"/>
        <v>0</v>
      </c>
      <c r="P108" s="379"/>
      <c r="Q108" s="379"/>
      <c r="R108" s="379">
        <f t="shared" si="108"/>
        <v>0</v>
      </c>
      <c r="S108" s="379"/>
      <c r="T108" s="379">
        <f t="shared" si="91"/>
        <v>0</v>
      </c>
      <c r="U108" s="379"/>
      <c r="V108" s="13">
        <f t="shared" si="74"/>
        <v>0</v>
      </c>
      <c r="W108" s="13"/>
      <c r="X108" s="13">
        <f t="shared" si="88"/>
        <v>0</v>
      </c>
      <c r="Y108" s="13"/>
      <c r="Z108" s="13">
        <f t="shared" si="92"/>
        <v>0</v>
      </c>
      <c r="AA108" s="13"/>
      <c r="AB108" s="13">
        <f t="shared" si="85"/>
        <v>0</v>
      </c>
      <c r="AC108" s="13"/>
      <c r="AD108" s="13">
        <f t="shared" si="83"/>
        <v>0</v>
      </c>
      <c r="AE108" s="13"/>
      <c r="AF108" s="13">
        <f t="shared" si="80"/>
        <v>0</v>
      </c>
      <c r="AG108" s="13"/>
      <c r="AH108" s="13">
        <f t="shared" si="81"/>
        <v>0</v>
      </c>
      <c r="AI108" s="13"/>
      <c r="AJ108" s="13"/>
      <c r="AK108" s="13">
        <f t="shared" si="78"/>
        <v>0</v>
      </c>
      <c r="AL108" s="25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  <c r="BG108" s="18"/>
      <c r="BH108" s="18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</row>
    <row r="109" spans="1:77" ht="30" hidden="1">
      <c r="A109" s="12" t="s">
        <v>574</v>
      </c>
      <c r="B109" s="13"/>
      <c r="C109" s="378"/>
      <c r="D109" s="378"/>
      <c r="E109" s="378"/>
      <c r="F109" s="378"/>
      <c r="G109" s="379"/>
      <c r="H109" s="379"/>
      <c r="I109" s="379"/>
      <c r="J109" s="379"/>
      <c r="K109" s="379"/>
      <c r="L109" s="379"/>
      <c r="M109" s="379"/>
      <c r="N109" s="379"/>
      <c r="O109" s="379"/>
      <c r="P109" s="379"/>
      <c r="Q109" s="379"/>
      <c r="R109" s="379"/>
      <c r="S109" s="379">
        <v>9592</v>
      </c>
      <c r="T109" s="379">
        <f t="shared" si="91"/>
        <v>9592</v>
      </c>
      <c r="U109" s="379"/>
      <c r="V109" s="13">
        <f t="shared" si="74"/>
        <v>9592</v>
      </c>
      <c r="W109" s="13"/>
      <c r="X109" s="13">
        <f t="shared" si="88"/>
        <v>9592</v>
      </c>
      <c r="Y109" s="13"/>
      <c r="Z109" s="13">
        <f t="shared" si="92"/>
        <v>9592</v>
      </c>
      <c r="AA109" s="13"/>
      <c r="AB109" s="13">
        <f t="shared" si="85"/>
        <v>9592</v>
      </c>
      <c r="AC109" s="13"/>
      <c r="AD109" s="13">
        <f t="shared" si="83"/>
        <v>9592</v>
      </c>
      <c r="AE109" s="13"/>
      <c r="AF109" s="13">
        <f t="shared" si="80"/>
        <v>9592</v>
      </c>
      <c r="AG109" s="13"/>
      <c r="AH109" s="13">
        <f t="shared" si="81"/>
        <v>9592</v>
      </c>
      <c r="AI109" s="13"/>
      <c r="AJ109" s="13"/>
      <c r="AK109" s="13">
        <f t="shared" si="78"/>
        <v>0</v>
      </c>
      <c r="AL109" s="25"/>
      <c r="AM109" s="18"/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  <c r="AZ109" s="18"/>
      <c r="BA109" s="18"/>
      <c r="BB109" s="18"/>
      <c r="BC109" s="18"/>
      <c r="BD109" s="18"/>
      <c r="BE109" s="18"/>
      <c r="BF109" s="18"/>
      <c r="BG109" s="18"/>
      <c r="BH109" s="18"/>
      <c r="BI109" s="22"/>
      <c r="BJ109" s="22"/>
      <c r="BK109" s="22"/>
      <c r="BL109" s="22"/>
      <c r="BM109" s="22"/>
      <c r="BN109" s="22"/>
      <c r="BO109" s="22"/>
      <c r="BP109" s="22"/>
      <c r="BQ109" s="22"/>
      <c r="BR109" s="22"/>
      <c r="BS109" s="22"/>
      <c r="BT109" s="22"/>
      <c r="BU109" s="22"/>
      <c r="BV109" s="22"/>
      <c r="BW109" s="22"/>
      <c r="BX109" s="22"/>
      <c r="BY109" s="22"/>
    </row>
    <row r="110" spans="1:77" ht="30" hidden="1">
      <c r="A110" s="12" t="s">
        <v>676</v>
      </c>
      <c r="B110" s="13"/>
      <c r="C110" s="378"/>
      <c r="D110" s="378"/>
      <c r="E110" s="378"/>
      <c r="F110" s="378"/>
      <c r="G110" s="379"/>
      <c r="H110" s="379"/>
      <c r="I110" s="379"/>
      <c r="J110" s="379"/>
      <c r="K110" s="379"/>
      <c r="L110" s="379"/>
      <c r="M110" s="379"/>
      <c r="N110" s="379"/>
      <c r="O110" s="379"/>
      <c r="P110" s="379"/>
      <c r="Q110" s="379"/>
      <c r="R110" s="379"/>
      <c r="S110" s="379">
        <v>3664</v>
      </c>
      <c r="T110" s="379">
        <f t="shared" si="91"/>
        <v>3664</v>
      </c>
      <c r="U110" s="379"/>
      <c r="V110" s="13">
        <f t="shared" si="74"/>
        <v>3664</v>
      </c>
      <c r="W110" s="13"/>
      <c r="X110" s="13">
        <f t="shared" si="88"/>
        <v>3664</v>
      </c>
      <c r="Y110" s="13"/>
      <c r="Z110" s="13">
        <f t="shared" si="92"/>
        <v>3664</v>
      </c>
      <c r="AA110" s="13"/>
      <c r="AB110" s="13">
        <f t="shared" si="85"/>
        <v>3664</v>
      </c>
      <c r="AC110" s="13"/>
      <c r="AD110" s="13">
        <f t="shared" si="83"/>
        <v>3664</v>
      </c>
      <c r="AE110" s="13"/>
      <c r="AF110" s="13">
        <f t="shared" si="80"/>
        <v>3664</v>
      </c>
      <c r="AG110" s="13"/>
      <c r="AH110" s="13">
        <f t="shared" si="81"/>
        <v>3664</v>
      </c>
      <c r="AI110" s="13"/>
      <c r="AJ110" s="13"/>
      <c r="AK110" s="13">
        <f t="shared" si="78"/>
        <v>0</v>
      </c>
      <c r="AL110" s="25"/>
      <c r="AM110" s="18"/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  <c r="BF110" s="18"/>
      <c r="BG110" s="18"/>
      <c r="BH110" s="18"/>
      <c r="BI110" s="22"/>
      <c r="BJ110" s="22"/>
      <c r="BK110" s="22"/>
      <c r="BL110" s="22"/>
      <c r="BM110" s="22"/>
      <c r="BN110" s="22"/>
      <c r="BO110" s="22"/>
      <c r="BP110" s="22"/>
      <c r="BQ110" s="22"/>
      <c r="BR110" s="22"/>
      <c r="BS110" s="22"/>
      <c r="BT110" s="22"/>
      <c r="BU110" s="22"/>
      <c r="BV110" s="22"/>
      <c r="BW110" s="22"/>
      <c r="BX110" s="22"/>
      <c r="BY110" s="22"/>
    </row>
    <row r="111" spans="1:77" hidden="1">
      <c r="A111" s="12" t="s">
        <v>575</v>
      </c>
      <c r="B111" s="13"/>
      <c r="C111" s="378"/>
      <c r="D111" s="378"/>
      <c r="E111" s="378"/>
      <c r="F111" s="378"/>
      <c r="G111" s="379"/>
      <c r="H111" s="379"/>
      <c r="I111" s="379"/>
      <c r="J111" s="379"/>
      <c r="K111" s="379"/>
      <c r="L111" s="379"/>
      <c r="M111" s="379"/>
      <c r="N111" s="379"/>
      <c r="O111" s="379"/>
      <c r="P111" s="379"/>
      <c r="Q111" s="379"/>
      <c r="R111" s="379"/>
      <c r="S111" s="379"/>
      <c r="T111" s="379"/>
      <c r="U111" s="379">
        <v>516</v>
      </c>
      <c r="V111" s="13">
        <f t="shared" si="74"/>
        <v>516</v>
      </c>
      <c r="W111" s="13"/>
      <c r="X111" s="13">
        <f t="shared" si="88"/>
        <v>516</v>
      </c>
      <c r="Y111" s="13"/>
      <c r="Z111" s="13">
        <f t="shared" si="92"/>
        <v>516</v>
      </c>
      <c r="AA111" s="13"/>
      <c r="AB111" s="13">
        <f t="shared" si="85"/>
        <v>516</v>
      </c>
      <c r="AC111" s="13"/>
      <c r="AD111" s="13">
        <f t="shared" si="83"/>
        <v>516</v>
      </c>
      <c r="AE111" s="13"/>
      <c r="AF111" s="13">
        <f t="shared" si="80"/>
        <v>516</v>
      </c>
      <c r="AG111" s="13"/>
      <c r="AH111" s="13">
        <f t="shared" si="81"/>
        <v>516</v>
      </c>
      <c r="AI111" s="13"/>
      <c r="AJ111" s="13"/>
      <c r="AK111" s="13">
        <f t="shared" si="78"/>
        <v>0</v>
      </c>
      <c r="AL111" s="25"/>
      <c r="AM111" s="18"/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  <c r="BB111" s="18"/>
      <c r="BC111" s="18"/>
      <c r="BD111" s="18"/>
      <c r="BE111" s="18"/>
      <c r="BF111" s="18"/>
      <c r="BG111" s="18"/>
      <c r="BH111" s="18"/>
      <c r="BI111" s="22"/>
      <c r="BJ111" s="22"/>
      <c r="BK111" s="22"/>
      <c r="BL111" s="22"/>
      <c r="BM111" s="22"/>
      <c r="BN111" s="22"/>
      <c r="BO111" s="22"/>
      <c r="BP111" s="22"/>
      <c r="BQ111" s="22"/>
      <c r="BR111" s="22"/>
      <c r="BS111" s="22"/>
      <c r="BT111" s="22"/>
      <c r="BU111" s="22"/>
      <c r="BV111" s="22"/>
      <c r="BW111" s="22"/>
      <c r="BX111" s="22"/>
      <c r="BY111" s="22"/>
    </row>
    <row r="112" spans="1:77" ht="30" hidden="1">
      <c r="A112" s="12" t="s">
        <v>588</v>
      </c>
      <c r="B112" s="13"/>
      <c r="C112" s="378"/>
      <c r="D112" s="378"/>
      <c r="E112" s="378"/>
      <c r="F112" s="378"/>
      <c r="G112" s="379"/>
      <c r="H112" s="379"/>
      <c r="I112" s="379"/>
      <c r="J112" s="379"/>
      <c r="K112" s="379"/>
      <c r="L112" s="379"/>
      <c r="M112" s="379"/>
      <c r="N112" s="379"/>
      <c r="O112" s="379"/>
      <c r="P112" s="379"/>
      <c r="Q112" s="379"/>
      <c r="R112" s="379"/>
      <c r="S112" s="379"/>
      <c r="T112" s="379"/>
      <c r="U112" s="379"/>
      <c r="V112" s="13"/>
      <c r="W112" s="13"/>
      <c r="X112" s="13"/>
      <c r="Y112" s="13">
        <v>5000</v>
      </c>
      <c r="Z112" s="13">
        <f t="shared" si="92"/>
        <v>5000</v>
      </c>
      <c r="AA112" s="13"/>
      <c r="AB112" s="13">
        <f t="shared" si="85"/>
        <v>5000</v>
      </c>
      <c r="AC112" s="13"/>
      <c r="AD112" s="13">
        <f t="shared" si="83"/>
        <v>5000</v>
      </c>
      <c r="AE112" s="13"/>
      <c r="AF112" s="13">
        <f t="shared" si="80"/>
        <v>5000</v>
      </c>
      <c r="AG112" s="13"/>
      <c r="AH112" s="13">
        <f t="shared" si="81"/>
        <v>5000</v>
      </c>
      <c r="AI112" s="13"/>
      <c r="AJ112" s="13"/>
      <c r="AK112" s="13">
        <f t="shared" si="78"/>
        <v>0</v>
      </c>
      <c r="AL112" s="25"/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  <c r="BF112" s="18"/>
      <c r="BG112" s="18"/>
      <c r="BH112" s="18"/>
      <c r="BI112" s="22"/>
      <c r="BJ112" s="22"/>
      <c r="BK112" s="22"/>
      <c r="BL112" s="22"/>
      <c r="BM112" s="22"/>
      <c r="BN112" s="22"/>
      <c r="BO112" s="22"/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</row>
    <row r="113" spans="1:77">
      <c r="A113" s="10" t="s">
        <v>72</v>
      </c>
      <c r="B113" s="20" t="e">
        <f t="shared" ref="B113:E113" si="111">B114</f>
        <v>#REF!</v>
      </c>
      <c r="C113" s="20" t="e">
        <f t="shared" si="111"/>
        <v>#REF!</v>
      </c>
      <c r="D113" s="20" t="e">
        <f t="shared" si="111"/>
        <v>#REF!</v>
      </c>
      <c r="E113" s="20" t="e">
        <f t="shared" si="111"/>
        <v>#REF!</v>
      </c>
      <c r="F113" s="20" t="e">
        <f>F114+#REF!</f>
        <v>#REF!</v>
      </c>
      <c r="G113" s="20" t="e">
        <f>G114+#REF!</f>
        <v>#REF!</v>
      </c>
      <c r="H113" s="20" t="e">
        <f>H114+#REF!</f>
        <v>#REF!</v>
      </c>
      <c r="I113" s="20" t="e">
        <f>I114+#REF!</f>
        <v>#REF!</v>
      </c>
      <c r="J113" s="20" t="e">
        <f>J114+#REF!</f>
        <v>#REF!</v>
      </c>
      <c r="K113" s="20" t="e">
        <f>K114+#REF!</f>
        <v>#REF!</v>
      </c>
      <c r="L113" s="20" t="e">
        <f>L114+#REF!</f>
        <v>#REF!</v>
      </c>
      <c r="M113" s="20" t="e">
        <f>M114+#REF!</f>
        <v>#REF!</v>
      </c>
      <c r="N113" s="20" t="e">
        <f>N114+#REF!</f>
        <v>#REF!</v>
      </c>
      <c r="O113" s="20" t="e">
        <f>O114+#REF!</f>
        <v>#REF!</v>
      </c>
      <c r="P113" s="20">
        <f>P114</f>
        <v>26529</v>
      </c>
      <c r="Q113" s="20">
        <f t="shared" ref="Q113:AK113" si="112">Q114</f>
        <v>0</v>
      </c>
      <c r="R113" s="20">
        <f t="shared" si="112"/>
        <v>26529</v>
      </c>
      <c r="S113" s="20">
        <f t="shared" si="112"/>
        <v>0</v>
      </c>
      <c r="T113" s="20">
        <f t="shared" si="112"/>
        <v>26529</v>
      </c>
      <c r="U113" s="20">
        <f t="shared" si="112"/>
        <v>370</v>
      </c>
      <c r="V113" s="20">
        <f t="shared" si="112"/>
        <v>26899</v>
      </c>
      <c r="W113" s="20">
        <f t="shared" si="112"/>
        <v>986</v>
      </c>
      <c r="X113" s="20">
        <f t="shared" si="112"/>
        <v>27885</v>
      </c>
      <c r="Y113" s="20">
        <f t="shared" si="112"/>
        <v>-369</v>
      </c>
      <c r="Z113" s="20">
        <f t="shared" si="112"/>
        <v>27516</v>
      </c>
      <c r="AA113" s="20">
        <f t="shared" si="112"/>
        <v>0</v>
      </c>
      <c r="AB113" s="20">
        <f t="shared" si="112"/>
        <v>27516</v>
      </c>
      <c r="AC113" s="20">
        <f t="shared" si="112"/>
        <v>0</v>
      </c>
      <c r="AD113" s="20">
        <f t="shared" si="112"/>
        <v>27516</v>
      </c>
      <c r="AE113" s="20">
        <f t="shared" si="112"/>
        <v>0</v>
      </c>
      <c r="AF113" s="20">
        <f t="shared" si="112"/>
        <v>27516</v>
      </c>
      <c r="AG113" s="20">
        <f t="shared" si="112"/>
        <v>-20000</v>
      </c>
      <c r="AH113" s="20">
        <f t="shared" si="112"/>
        <v>7516</v>
      </c>
      <c r="AI113" s="20">
        <f t="shared" si="112"/>
        <v>27958</v>
      </c>
      <c r="AJ113" s="20">
        <f t="shared" si="112"/>
        <v>0</v>
      </c>
      <c r="AK113" s="20">
        <f t="shared" si="112"/>
        <v>27958</v>
      </c>
      <c r="AL113" s="25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  <c r="BG113" s="18"/>
      <c r="BH113" s="18"/>
      <c r="BI113" s="22"/>
      <c r="BJ113" s="22"/>
      <c r="BK113" s="22"/>
      <c r="BL113" s="22"/>
      <c r="BM113" s="22"/>
      <c r="BN113" s="22"/>
      <c r="BO113" s="22"/>
      <c r="BP113" s="22"/>
      <c r="BQ113" s="22"/>
      <c r="BR113" s="22"/>
      <c r="BS113" s="22"/>
      <c r="BT113" s="22"/>
      <c r="BU113" s="22"/>
      <c r="BV113" s="22"/>
      <c r="BW113" s="22"/>
      <c r="BX113" s="22"/>
      <c r="BY113" s="22"/>
    </row>
    <row r="114" spans="1:77">
      <c r="A114" s="12" t="s">
        <v>73</v>
      </c>
      <c r="B114" s="13" t="e">
        <f>B115+B116+B117+B118+#REF!</f>
        <v>#REF!</v>
      </c>
      <c r="C114" s="13" t="e">
        <f>C115+C116+C117+C118+#REF!</f>
        <v>#REF!</v>
      </c>
      <c r="D114" s="13" t="e">
        <f>D115+D116+D117+D118+#REF!</f>
        <v>#REF!</v>
      </c>
      <c r="E114" s="13" t="e">
        <f>E115+E116+E117+E118+#REF!</f>
        <v>#REF!</v>
      </c>
      <c r="F114" s="13" t="e">
        <f>F115+F116+F117+F118+#REF!</f>
        <v>#REF!</v>
      </c>
      <c r="G114" s="13" t="e">
        <f>G115+G116+G117+G118+#REF!</f>
        <v>#REF!</v>
      </c>
      <c r="H114" s="13" t="e">
        <f>H115+H116+H117+H118+#REF!</f>
        <v>#REF!</v>
      </c>
      <c r="I114" s="13" t="e">
        <f>I115+I116+I117+I118+#REF!</f>
        <v>#REF!</v>
      </c>
      <c r="J114" s="13" t="e">
        <f>J115+J116+J117+J118+#REF!</f>
        <v>#REF!</v>
      </c>
      <c r="K114" s="13" t="e">
        <f>K115+K116+K117+K118+#REF!</f>
        <v>#REF!</v>
      </c>
      <c r="L114" s="13" t="e">
        <f>L115+L116+L117+L118+#REF!</f>
        <v>#REF!</v>
      </c>
      <c r="M114" s="13" t="e">
        <f>M115+M116+M117+M118+#REF!</f>
        <v>#REF!</v>
      </c>
      <c r="N114" s="13" t="e">
        <f>N115+N116+N117+N118+#REF!</f>
        <v>#REF!</v>
      </c>
      <c r="O114" s="13" t="e">
        <f>O115+O116+O117+O118+#REF!</f>
        <v>#REF!</v>
      </c>
      <c r="P114" s="13">
        <f>P115+P116+P117+P118</f>
        <v>26529</v>
      </c>
      <c r="Q114" s="13">
        <f t="shared" ref="Q114:T114" si="113">Q115+Q116+Q117+Q118</f>
        <v>0</v>
      </c>
      <c r="R114" s="13">
        <f t="shared" si="113"/>
        <v>26529</v>
      </c>
      <c r="S114" s="13">
        <f t="shared" si="113"/>
        <v>0</v>
      </c>
      <c r="T114" s="13">
        <f t="shared" si="113"/>
        <v>26529</v>
      </c>
      <c r="U114" s="13">
        <f>U115+U116+U117+U118+U119</f>
        <v>370</v>
      </c>
      <c r="V114" s="13">
        <f>V115+V116+V117+V118+V119+V121</f>
        <v>26899</v>
      </c>
      <c r="W114" s="13">
        <f t="shared" ref="W114:AG114" si="114">W115+W116+W117+W118+W119+W121</f>
        <v>986</v>
      </c>
      <c r="X114" s="13">
        <f t="shared" si="114"/>
        <v>27885</v>
      </c>
      <c r="Y114" s="13">
        <f t="shared" si="114"/>
        <v>-369</v>
      </c>
      <c r="Z114" s="13">
        <f t="shared" si="114"/>
        <v>27516</v>
      </c>
      <c r="AA114" s="13">
        <f t="shared" si="114"/>
        <v>0</v>
      </c>
      <c r="AB114" s="13">
        <f t="shared" si="114"/>
        <v>27516</v>
      </c>
      <c r="AC114" s="13">
        <f t="shared" si="114"/>
        <v>0</v>
      </c>
      <c r="AD114" s="13">
        <f t="shared" si="114"/>
        <v>27516</v>
      </c>
      <c r="AE114" s="13">
        <f t="shared" si="114"/>
        <v>0</v>
      </c>
      <c r="AF114" s="13">
        <f t="shared" si="114"/>
        <v>27516</v>
      </c>
      <c r="AG114" s="13">
        <f t="shared" si="114"/>
        <v>-20000</v>
      </c>
      <c r="AH114" s="13">
        <f>AH115+AH116+AH117+AH118+AH119+AH121+AH120</f>
        <v>7516</v>
      </c>
      <c r="AI114" s="13">
        <f>AI115+AI116+AI117+AI118+AI119+AI121+AI120</f>
        <v>27958</v>
      </c>
      <c r="AJ114" s="13">
        <f t="shared" ref="AJ114:AK114" si="115">AJ115+AJ116+AJ117+AJ118+AJ119+AJ121+AJ120</f>
        <v>0</v>
      </c>
      <c r="AK114" s="13">
        <f t="shared" si="115"/>
        <v>27958</v>
      </c>
      <c r="AL114" s="25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  <c r="BF114" s="18"/>
      <c r="BG114" s="18"/>
      <c r="BH114" s="18"/>
      <c r="BI114" s="22"/>
      <c r="BJ114" s="22"/>
      <c r="BK114" s="22"/>
      <c r="BL114" s="22"/>
      <c r="BM114" s="22"/>
      <c r="BN114" s="22"/>
      <c r="BO114" s="22"/>
      <c r="BP114" s="22"/>
      <c r="BQ114" s="22"/>
      <c r="BR114" s="22"/>
      <c r="BS114" s="22"/>
      <c r="BT114" s="22"/>
      <c r="BU114" s="22"/>
      <c r="BV114" s="22"/>
      <c r="BW114" s="22"/>
      <c r="BX114" s="22"/>
      <c r="BY114" s="22"/>
    </row>
    <row r="115" spans="1:77">
      <c r="A115" s="12" t="s">
        <v>74</v>
      </c>
      <c r="B115" s="13"/>
      <c r="C115" s="192">
        <f>SUM(B115:B115)</f>
        <v>0</v>
      </c>
      <c r="D115" s="192"/>
      <c r="E115" s="192">
        <f>SUM(C115:D115)</f>
        <v>0</v>
      </c>
      <c r="F115" s="192"/>
      <c r="G115" s="379">
        <f t="shared" si="87"/>
        <v>0</v>
      </c>
      <c r="H115" s="379"/>
      <c r="I115" s="379">
        <f>SUM(G115:H115)</f>
        <v>0</v>
      </c>
      <c r="J115" s="379"/>
      <c r="K115" s="379">
        <f>SUM(I115:J115)</f>
        <v>0</v>
      </c>
      <c r="L115" s="379"/>
      <c r="M115" s="379">
        <f t="shared" si="82"/>
        <v>0</v>
      </c>
      <c r="N115" s="379"/>
      <c r="O115" s="379">
        <f t="shared" ref="O115:O118" si="116">SUM(M115:N115)</f>
        <v>0</v>
      </c>
      <c r="P115" s="379">
        <v>1017</v>
      </c>
      <c r="Q115" s="379"/>
      <c r="R115" s="379">
        <f>SUM(P115:Q115)</f>
        <v>1017</v>
      </c>
      <c r="S115" s="379"/>
      <c r="T115" s="379">
        <f t="shared" si="91"/>
        <v>1017</v>
      </c>
      <c r="U115" s="379"/>
      <c r="V115" s="13">
        <f t="shared" si="74"/>
        <v>1017</v>
      </c>
      <c r="W115" s="13"/>
      <c r="X115" s="13">
        <f t="shared" si="88"/>
        <v>1017</v>
      </c>
      <c r="Y115" s="13"/>
      <c r="Z115" s="13">
        <f t="shared" si="92"/>
        <v>1017</v>
      </c>
      <c r="AA115" s="13"/>
      <c r="AB115" s="13">
        <f t="shared" si="85"/>
        <v>1017</v>
      </c>
      <c r="AC115" s="13"/>
      <c r="AD115" s="13">
        <f t="shared" si="83"/>
        <v>1017</v>
      </c>
      <c r="AE115" s="13"/>
      <c r="AF115" s="13">
        <f t="shared" si="80"/>
        <v>1017</v>
      </c>
      <c r="AG115" s="13"/>
      <c r="AH115" s="13">
        <f t="shared" si="81"/>
        <v>1017</v>
      </c>
      <c r="AI115" s="13">
        <v>631</v>
      </c>
      <c r="AJ115" s="13"/>
      <c r="AK115" s="13">
        <f t="shared" si="78"/>
        <v>631</v>
      </c>
      <c r="AL115" s="25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  <c r="BG115" s="18"/>
      <c r="BH115" s="18"/>
      <c r="BI115" s="22"/>
      <c r="BJ115" s="22"/>
      <c r="BK115" s="22"/>
      <c r="BL115" s="22"/>
      <c r="BM115" s="22"/>
      <c r="BN115" s="22"/>
      <c r="BO115" s="22"/>
      <c r="BP115" s="22"/>
      <c r="BQ115" s="22"/>
      <c r="BR115" s="22"/>
      <c r="BS115" s="22"/>
      <c r="BT115" s="22"/>
      <c r="BU115" s="22"/>
      <c r="BV115" s="22"/>
      <c r="BW115" s="22"/>
      <c r="BX115" s="22"/>
      <c r="BY115" s="22"/>
    </row>
    <row r="116" spans="1:77">
      <c r="A116" s="12" t="s">
        <v>75</v>
      </c>
      <c r="B116" s="13"/>
      <c r="C116" s="192">
        <f>SUM(B116:B116)</f>
        <v>0</v>
      </c>
      <c r="D116" s="192"/>
      <c r="E116" s="192">
        <f>SUM(C116:D116)</f>
        <v>0</v>
      </c>
      <c r="F116" s="192"/>
      <c r="G116" s="379">
        <f t="shared" si="87"/>
        <v>0</v>
      </c>
      <c r="H116" s="379"/>
      <c r="I116" s="379">
        <f>SUM(G116:H116)</f>
        <v>0</v>
      </c>
      <c r="J116" s="379"/>
      <c r="K116" s="379">
        <f>SUM(I116:J116)</f>
        <v>0</v>
      </c>
      <c r="L116" s="379"/>
      <c r="M116" s="379">
        <f t="shared" si="82"/>
        <v>0</v>
      </c>
      <c r="N116" s="379"/>
      <c r="O116" s="379">
        <f t="shared" si="116"/>
        <v>0</v>
      </c>
      <c r="P116" s="379">
        <v>5418</v>
      </c>
      <c r="Q116" s="379"/>
      <c r="R116" s="379">
        <f>SUM(P116:Q116)</f>
        <v>5418</v>
      </c>
      <c r="S116" s="379"/>
      <c r="T116" s="379">
        <f t="shared" si="91"/>
        <v>5418</v>
      </c>
      <c r="U116" s="379"/>
      <c r="V116" s="13">
        <f t="shared" si="74"/>
        <v>5418</v>
      </c>
      <c r="W116" s="13"/>
      <c r="X116" s="13">
        <f t="shared" si="88"/>
        <v>5418</v>
      </c>
      <c r="Y116" s="13"/>
      <c r="Z116" s="13">
        <f t="shared" si="92"/>
        <v>5418</v>
      </c>
      <c r="AA116" s="13"/>
      <c r="AB116" s="13">
        <f t="shared" si="85"/>
        <v>5418</v>
      </c>
      <c r="AC116" s="13"/>
      <c r="AD116" s="13">
        <f t="shared" si="83"/>
        <v>5418</v>
      </c>
      <c r="AE116" s="13"/>
      <c r="AF116" s="13">
        <f t="shared" si="80"/>
        <v>5418</v>
      </c>
      <c r="AG116" s="13"/>
      <c r="AH116" s="13">
        <f t="shared" si="81"/>
        <v>5418</v>
      </c>
      <c r="AI116" s="13">
        <v>5834</v>
      </c>
      <c r="AJ116" s="13"/>
      <c r="AK116" s="13">
        <f t="shared" si="78"/>
        <v>5834</v>
      </c>
      <c r="AL116" s="25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  <c r="BF116" s="18"/>
      <c r="BG116" s="18"/>
      <c r="BH116" s="18"/>
      <c r="BI116" s="22"/>
      <c r="BJ116" s="22"/>
      <c r="BK116" s="22"/>
      <c r="BL116" s="22"/>
      <c r="BM116" s="22"/>
      <c r="BN116" s="22"/>
      <c r="BO116" s="22"/>
      <c r="BP116" s="22"/>
      <c r="BQ116" s="22"/>
      <c r="BR116" s="22"/>
      <c r="BS116" s="22"/>
      <c r="BT116" s="22"/>
      <c r="BU116" s="22"/>
      <c r="BV116" s="22"/>
      <c r="BW116" s="22"/>
      <c r="BX116" s="22"/>
      <c r="BY116" s="22"/>
    </row>
    <row r="117" spans="1:77">
      <c r="A117" s="12" t="s">
        <v>76</v>
      </c>
      <c r="B117" s="13"/>
      <c r="C117" s="192">
        <f>SUM(B117:B117)</f>
        <v>0</v>
      </c>
      <c r="D117" s="192"/>
      <c r="E117" s="192">
        <f>SUM(C117:D117)</f>
        <v>0</v>
      </c>
      <c r="F117" s="192"/>
      <c r="G117" s="379">
        <f t="shared" si="87"/>
        <v>0</v>
      </c>
      <c r="H117" s="379"/>
      <c r="I117" s="379">
        <f>SUM(G117:H117)</f>
        <v>0</v>
      </c>
      <c r="J117" s="379"/>
      <c r="K117" s="379">
        <f>SUM(I117:J117)</f>
        <v>0</v>
      </c>
      <c r="L117" s="379"/>
      <c r="M117" s="379">
        <f t="shared" si="82"/>
        <v>0</v>
      </c>
      <c r="N117" s="379"/>
      <c r="O117" s="379">
        <f t="shared" si="116"/>
        <v>0</v>
      </c>
      <c r="P117" s="379">
        <v>94</v>
      </c>
      <c r="Q117" s="379"/>
      <c r="R117" s="379">
        <f>SUM(P117:Q117)</f>
        <v>94</v>
      </c>
      <c r="S117" s="379"/>
      <c r="T117" s="379">
        <f t="shared" si="91"/>
        <v>94</v>
      </c>
      <c r="U117" s="379"/>
      <c r="V117" s="13">
        <f t="shared" si="74"/>
        <v>94</v>
      </c>
      <c r="W117" s="13"/>
      <c r="X117" s="13">
        <f t="shared" si="88"/>
        <v>94</v>
      </c>
      <c r="Y117" s="13"/>
      <c r="Z117" s="13">
        <f t="shared" si="92"/>
        <v>94</v>
      </c>
      <c r="AA117" s="13"/>
      <c r="AB117" s="13">
        <f t="shared" si="85"/>
        <v>94</v>
      </c>
      <c r="AC117" s="13"/>
      <c r="AD117" s="13">
        <f t="shared" si="83"/>
        <v>94</v>
      </c>
      <c r="AE117" s="13"/>
      <c r="AF117" s="13">
        <f t="shared" si="80"/>
        <v>94</v>
      </c>
      <c r="AG117" s="13"/>
      <c r="AH117" s="13">
        <f t="shared" si="81"/>
        <v>94</v>
      </c>
      <c r="AI117" s="13">
        <v>0</v>
      </c>
      <c r="AJ117" s="13"/>
      <c r="AK117" s="13">
        <f t="shared" si="78"/>
        <v>0</v>
      </c>
      <c r="AL117" s="25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  <c r="BF117" s="18"/>
      <c r="BG117" s="18"/>
      <c r="BH117" s="18"/>
      <c r="BI117" s="22"/>
      <c r="BJ117" s="22"/>
      <c r="BK117" s="22"/>
      <c r="BL117" s="22"/>
      <c r="BM117" s="22"/>
      <c r="BN117" s="22"/>
      <c r="BO117" s="22"/>
      <c r="BP117" s="22"/>
      <c r="BQ117" s="22"/>
      <c r="BR117" s="22"/>
      <c r="BS117" s="22"/>
      <c r="BT117" s="22"/>
      <c r="BU117" s="22"/>
      <c r="BV117" s="22"/>
      <c r="BW117" s="22"/>
      <c r="BX117" s="22"/>
      <c r="BY117" s="22"/>
    </row>
    <row r="118" spans="1:77" ht="30">
      <c r="A118" s="12" t="s">
        <v>794</v>
      </c>
      <c r="B118" s="13"/>
      <c r="C118" s="192">
        <f>SUM(B118:B118)</f>
        <v>0</v>
      </c>
      <c r="D118" s="192"/>
      <c r="E118" s="192">
        <f>SUM(C118:D118)</f>
        <v>0</v>
      </c>
      <c r="F118" s="192"/>
      <c r="G118" s="379">
        <f t="shared" si="87"/>
        <v>0</v>
      </c>
      <c r="H118" s="379"/>
      <c r="I118" s="379">
        <f>SUM(G118:H118)</f>
        <v>0</v>
      </c>
      <c r="J118" s="379"/>
      <c r="K118" s="379">
        <f>SUM(I118:J118)</f>
        <v>0</v>
      </c>
      <c r="L118" s="379"/>
      <c r="M118" s="379">
        <f t="shared" si="82"/>
        <v>0</v>
      </c>
      <c r="N118" s="379"/>
      <c r="O118" s="379">
        <f t="shared" si="116"/>
        <v>0</v>
      </c>
      <c r="P118" s="379">
        <v>20000</v>
      </c>
      <c r="Q118" s="379"/>
      <c r="R118" s="379">
        <f>SUM(P118:Q118)</f>
        <v>20000</v>
      </c>
      <c r="S118" s="379"/>
      <c r="T118" s="379">
        <f t="shared" si="91"/>
        <v>20000</v>
      </c>
      <c r="U118" s="379"/>
      <c r="V118" s="13">
        <f t="shared" si="74"/>
        <v>20000</v>
      </c>
      <c r="W118" s="13"/>
      <c r="X118" s="13">
        <f t="shared" si="88"/>
        <v>20000</v>
      </c>
      <c r="Y118" s="13"/>
      <c r="Z118" s="13">
        <f t="shared" si="92"/>
        <v>20000</v>
      </c>
      <c r="AA118" s="13"/>
      <c r="AB118" s="13">
        <f t="shared" si="85"/>
        <v>20000</v>
      </c>
      <c r="AC118" s="13"/>
      <c r="AD118" s="13">
        <f t="shared" si="83"/>
        <v>20000</v>
      </c>
      <c r="AE118" s="13"/>
      <c r="AF118" s="13">
        <f t="shared" si="80"/>
        <v>20000</v>
      </c>
      <c r="AG118" s="13">
        <f>-10000-10000</f>
        <v>-20000</v>
      </c>
      <c r="AH118" s="13">
        <f t="shared" si="81"/>
        <v>0</v>
      </c>
      <c r="AI118" s="13">
        <v>20000</v>
      </c>
      <c r="AJ118" s="13"/>
      <c r="AK118" s="13">
        <f t="shared" si="78"/>
        <v>20000</v>
      </c>
      <c r="AL118" s="25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  <c r="BF118" s="18"/>
      <c r="BG118" s="18"/>
      <c r="BH118" s="18"/>
      <c r="BI118" s="22"/>
      <c r="BJ118" s="22"/>
      <c r="BK118" s="22"/>
      <c r="BL118" s="22"/>
      <c r="BM118" s="22"/>
      <c r="BN118" s="22"/>
      <c r="BO118" s="22"/>
      <c r="BP118" s="22"/>
      <c r="BQ118" s="22"/>
      <c r="BR118" s="22"/>
      <c r="BS118" s="22"/>
      <c r="BT118" s="22"/>
      <c r="BU118" s="22"/>
      <c r="BV118" s="22"/>
      <c r="BW118" s="22"/>
      <c r="BX118" s="22"/>
      <c r="BY118" s="22"/>
    </row>
    <row r="119" spans="1:77" hidden="1">
      <c r="A119" s="12" t="s">
        <v>576</v>
      </c>
      <c r="B119" s="13"/>
      <c r="C119" s="192"/>
      <c r="D119" s="192"/>
      <c r="E119" s="192"/>
      <c r="F119" s="192"/>
      <c r="G119" s="379"/>
      <c r="H119" s="379"/>
      <c r="I119" s="379"/>
      <c r="J119" s="379"/>
      <c r="K119" s="379"/>
      <c r="L119" s="379"/>
      <c r="M119" s="379"/>
      <c r="N119" s="379"/>
      <c r="O119" s="379"/>
      <c r="P119" s="379"/>
      <c r="Q119" s="379"/>
      <c r="R119" s="379"/>
      <c r="S119" s="379"/>
      <c r="T119" s="379"/>
      <c r="U119" s="379">
        <v>370</v>
      </c>
      <c r="V119" s="13">
        <f t="shared" si="74"/>
        <v>370</v>
      </c>
      <c r="W119" s="13"/>
      <c r="X119" s="13">
        <f t="shared" si="88"/>
        <v>370</v>
      </c>
      <c r="Y119" s="13">
        <v>-369</v>
      </c>
      <c r="Z119" s="13">
        <f t="shared" si="92"/>
        <v>1</v>
      </c>
      <c r="AA119" s="13"/>
      <c r="AB119" s="13">
        <f t="shared" si="85"/>
        <v>1</v>
      </c>
      <c r="AC119" s="13"/>
      <c r="AD119" s="13">
        <f t="shared" si="83"/>
        <v>1</v>
      </c>
      <c r="AE119" s="13"/>
      <c r="AF119" s="13">
        <f t="shared" si="80"/>
        <v>1</v>
      </c>
      <c r="AG119" s="13"/>
      <c r="AH119" s="13">
        <f t="shared" si="81"/>
        <v>1</v>
      </c>
      <c r="AI119" s="13"/>
      <c r="AJ119" s="13"/>
      <c r="AK119" s="13">
        <f t="shared" si="78"/>
        <v>0</v>
      </c>
      <c r="AL119" s="25"/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  <c r="BF119" s="18"/>
      <c r="BG119" s="18"/>
      <c r="BH119" s="18"/>
      <c r="BI119" s="22"/>
      <c r="BJ119" s="22"/>
      <c r="BK119" s="22"/>
      <c r="BL119" s="22"/>
      <c r="BM119" s="22"/>
      <c r="BN119" s="22"/>
      <c r="BO119" s="22"/>
      <c r="BP119" s="22"/>
      <c r="BQ119" s="22"/>
      <c r="BR119" s="22"/>
      <c r="BS119" s="22"/>
      <c r="BT119" s="22"/>
      <c r="BU119" s="22"/>
      <c r="BV119" s="22"/>
      <c r="BW119" s="22"/>
      <c r="BX119" s="22"/>
      <c r="BY119" s="22"/>
    </row>
    <row r="120" spans="1:77">
      <c r="A120" s="12" t="s">
        <v>810</v>
      </c>
      <c r="B120" s="13"/>
      <c r="C120" s="192"/>
      <c r="D120" s="192"/>
      <c r="E120" s="192"/>
      <c r="F120" s="192"/>
      <c r="G120" s="379"/>
      <c r="H120" s="379"/>
      <c r="I120" s="379"/>
      <c r="J120" s="379"/>
      <c r="K120" s="379"/>
      <c r="L120" s="379"/>
      <c r="M120" s="379"/>
      <c r="N120" s="379"/>
      <c r="O120" s="379"/>
      <c r="P120" s="379"/>
      <c r="Q120" s="379"/>
      <c r="R120" s="379"/>
      <c r="S120" s="379"/>
      <c r="T120" s="379"/>
      <c r="U120" s="379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>
        <v>986</v>
      </c>
      <c r="AI120" s="13">
        <v>986</v>
      </c>
      <c r="AJ120" s="13"/>
      <c r="AK120" s="13">
        <f t="shared" si="78"/>
        <v>986</v>
      </c>
      <c r="AL120" s="25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  <c r="BF120" s="18"/>
      <c r="BG120" s="18"/>
      <c r="BH120" s="18"/>
      <c r="BI120" s="22"/>
      <c r="BJ120" s="22"/>
      <c r="BK120" s="22"/>
      <c r="BL120" s="22"/>
      <c r="BM120" s="22"/>
      <c r="BN120" s="22"/>
      <c r="BO120" s="22"/>
      <c r="BP120" s="22"/>
      <c r="BQ120" s="22"/>
      <c r="BR120" s="22"/>
      <c r="BS120" s="22"/>
      <c r="BT120" s="22"/>
      <c r="BU120" s="22"/>
      <c r="BV120" s="22"/>
      <c r="BW120" s="22"/>
      <c r="BX120" s="22"/>
      <c r="BY120" s="22"/>
    </row>
    <row r="121" spans="1:77">
      <c r="A121" s="12" t="s">
        <v>811</v>
      </c>
      <c r="B121" s="13"/>
      <c r="C121" s="192"/>
      <c r="D121" s="192"/>
      <c r="E121" s="192"/>
      <c r="F121" s="192"/>
      <c r="G121" s="379"/>
      <c r="H121" s="379"/>
      <c r="I121" s="379"/>
      <c r="J121" s="379"/>
      <c r="K121" s="379"/>
      <c r="L121" s="379"/>
      <c r="M121" s="379"/>
      <c r="N121" s="379"/>
      <c r="O121" s="379"/>
      <c r="P121" s="379"/>
      <c r="Q121" s="379"/>
      <c r="R121" s="379"/>
      <c r="S121" s="379"/>
      <c r="T121" s="379"/>
      <c r="U121" s="379"/>
      <c r="V121" s="13"/>
      <c r="W121" s="13">
        <v>986</v>
      </c>
      <c r="X121" s="13">
        <f t="shared" si="88"/>
        <v>986</v>
      </c>
      <c r="Y121" s="13"/>
      <c r="Z121" s="13">
        <f t="shared" si="92"/>
        <v>986</v>
      </c>
      <c r="AA121" s="13"/>
      <c r="AB121" s="13">
        <f t="shared" si="85"/>
        <v>986</v>
      </c>
      <c r="AC121" s="13"/>
      <c r="AD121" s="13">
        <f t="shared" si="83"/>
        <v>986</v>
      </c>
      <c r="AE121" s="13"/>
      <c r="AF121" s="13">
        <f t="shared" si="80"/>
        <v>986</v>
      </c>
      <c r="AG121" s="13"/>
      <c r="AH121" s="13">
        <v>0</v>
      </c>
      <c r="AI121" s="13">
        <v>507</v>
      </c>
      <c r="AJ121" s="13"/>
      <c r="AK121" s="13">
        <f t="shared" si="78"/>
        <v>507</v>
      </c>
      <c r="AL121" s="25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  <c r="BF121" s="18"/>
      <c r="BG121" s="18"/>
      <c r="BH121" s="18"/>
      <c r="BI121" s="22"/>
      <c r="BJ121" s="22"/>
      <c r="BK121" s="22"/>
      <c r="BL121" s="22"/>
      <c r="BM121" s="22"/>
      <c r="BN121" s="22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</row>
    <row r="122" spans="1:77">
      <c r="A122" s="26" t="s">
        <v>77</v>
      </c>
      <c r="B122" s="27" t="e">
        <f t="shared" ref="B122:AK122" si="117">B8+B53+B68+B85+B97+B100+B113</f>
        <v>#REF!</v>
      </c>
      <c r="C122" s="27" t="e">
        <f t="shared" si="117"/>
        <v>#REF!</v>
      </c>
      <c r="D122" s="27" t="e">
        <f t="shared" si="117"/>
        <v>#REF!</v>
      </c>
      <c r="E122" s="27" t="e">
        <f t="shared" si="117"/>
        <v>#REF!</v>
      </c>
      <c r="F122" s="27" t="e">
        <f t="shared" si="117"/>
        <v>#REF!</v>
      </c>
      <c r="G122" s="27" t="e">
        <f t="shared" si="117"/>
        <v>#REF!</v>
      </c>
      <c r="H122" s="27" t="e">
        <f t="shared" si="117"/>
        <v>#REF!</v>
      </c>
      <c r="I122" s="27" t="e">
        <f t="shared" si="117"/>
        <v>#REF!</v>
      </c>
      <c r="J122" s="27" t="e">
        <f t="shared" si="117"/>
        <v>#REF!</v>
      </c>
      <c r="K122" s="27" t="e">
        <f t="shared" si="117"/>
        <v>#REF!</v>
      </c>
      <c r="L122" s="27" t="e">
        <f t="shared" si="117"/>
        <v>#REF!</v>
      </c>
      <c r="M122" s="27" t="e">
        <f t="shared" si="117"/>
        <v>#REF!</v>
      </c>
      <c r="N122" s="27" t="e">
        <f t="shared" si="117"/>
        <v>#REF!</v>
      </c>
      <c r="O122" s="27" t="e">
        <f t="shared" si="117"/>
        <v>#REF!</v>
      </c>
      <c r="P122" s="27">
        <f t="shared" si="117"/>
        <v>6283735.9900000002</v>
      </c>
      <c r="Q122" s="27">
        <f t="shared" si="117"/>
        <v>28003</v>
      </c>
      <c r="R122" s="27">
        <f t="shared" si="117"/>
        <v>6311738.9900000002</v>
      </c>
      <c r="S122" s="27">
        <f t="shared" si="117"/>
        <v>53137</v>
      </c>
      <c r="T122" s="27">
        <f t="shared" si="117"/>
        <v>6364875.9900000002</v>
      </c>
      <c r="U122" s="27">
        <f t="shared" si="117"/>
        <v>17169</v>
      </c>
      <c r="V122" s="27">
        <f t="shared" si="117"/>
        <v>6382044.9900000002</v>
      </c>
      <c r="W122" s="27">
        <f t="shared" si="117"/>
        <v>300268</v>
      </c>
      <c r="X122" s="27">
        <f t="shared" si="117"/>
        <v>6682312.9900000002</v>
      </c>
      <c r="Y122" s="27">
        <f t="shared" si="117"/>
        <v>186557</v>
      </c>
      <c r="Z122" s="27">
        <f t="shared" si="117"/>
        <v>6868869.9900000002</v>
      </c>
      <c r="AA122" s="27">
        <f t="shared" si="117"/>
        <v>33117</v>
      </c>
      <c r="AB122" s="27">
        <f t="shared" si="117"/>
        <v>6901986.9900000002</v>
      </c>
      <c r="AC122" s="27">
        <f t="shared" si="117"/>
        <v>383182</v>
      </c>
      <c r="AD122" s="27">
        <f t="shared" si="117"/>
        <v>7285168.9900000002</v>
      </c>
      <c r="AE122" s="27">
        <f t="shared" si="117"/>
        <v>11885</v>
      </c>
      <c r="AF122" s="27">
        <f t="shared" si="117"/>
        <v>7297053.9900000002</v>
      </c>
      <c r="AG122" s="27">
        <f t="shared" si="117"/>
        <v>-17354</v>
      </c>
      <c r="AH122" s="27">
        <f t="shared" si="117"/>
        <v>7279699.9900000002</v>
      </c>
      <c r="AI122" s="27">
        <f t="shared" si="117"/>
        <v>5421709</v>
      </c>
      <c r="AJ122" s="27">
        <f t="shared" si="117"/>
        <v>77288</v>
      </c>
      <c r="AK122" s="27">
        <f t="shared" si="117"/>
        <v>5498997</v>
      </c>
      <c r="AL122" s="26" t="s">
        <v>78</v>
      </c>
      <c r="AM122" s="410">
        <f t="shared" ref="AM122:BF122" si="118">AM8+AM9+AM10+AM11+AM12+AM54+AM55+AM56</f>
        <v>7143472</v>
      </c>
      <c r="AN122" s="410" t="e">
        <f t="shared" si="118"/>
        <v>#REF!</v>
      </c>
      <c r="AO122" s="410" t="e">
        <f t="shared" si="118"/>
        <v>#REF!</v>
      </c>
      <c r="AP122" s="410" t="e">
        <f t="shared" si="118"/>
        <v>#REF!</v>
      </c>
      <c r="AQ122" s="410" t="e">
        <f t="shared" si="118"/>
        <v>#REF!</v>
      </c>
      <c r="AR122" s="410" t="e">
        <f t="shared" si="118"/>
        <v>#REF!</v>
      </c>
      <c r="AS122" s="410" t="e">
        <f t="shared" si="118"/>
        <v>#REF!</v>
      </c>
      <c r="AT122" s="410" t="e">
        <f t="shared" si="118"/>
        <v>#REF!</v>
      </c>
      <c r="AU122" s="410" t="e">
        <f t="shared" si="118"/>
        <v>#REF!</v>
      </c>
      <c r="AV122" s="410" t="e">
        <f t="shared" si="118"/>
        <v>#REF!</v>
      </c>
      <c r="AW122" s="410" t="e">
        <f t="shared" si="118"/>
        <v>#REF!</v>
      </c>
      <c r="AX122" s="410" t="e">
        <f t="shared" si="118"/>
        <v>#REF!</v>
      </c>
      <c r="AY122" s="410" t="e">
        <f t="shared" si="118"/>
        <v>#REF!</v>
      </c>
      <c r="AZ122" s="410" t="e">
        <f t="shared" si="118"/>
        <v>#REF!</v>
      </c>
      <c r="BA122" s="410" t="e">
        <f t="shared" si="118"/>
        <v>#REF!</v>
      </c>
      <c r="BB122" s="410" t="e">
        <f t="shared" si="118"/>
        <v>#REF!</v>
      </c>
      <c r="BC122" s="410" t="e">
        <f t="shared" si="118"/>
        <v>#REF!</v>
      </c>
      <c r="BD122" s="410" t="e">
        <f t="shared" si="118"/>
        <v>#REF!</v>
      </c>
      <c r="BE122" s="410" t="e">
        <f t="shared" si="118"/>
        <v>#REF!</v>
      </c>
      <c r="BF122" s="410">
        <f t="shared" si="118"/>
        <v>5503941</v>
      </c>
      <c r="BG122" s="410">
        <f t="shared" ref="BG122:BH122" si="119">BG8+BG9+BG10+BG11+BG12+BG54+BG55+BG56</f>
        <v>48530</v>
      </c>
      <c r="BH122" s="410">
        <f t="shared" si="119"/>
        <v>5552471</v>
      </c>
      <c r="BI122" s="22"/>
      <c r="BJ122" s="22"/>
      <c r="BK122" s="22"/>
      <c r="BL122" s="22"/>
      <c r="BM122" s="22"/>
      <c r="BN122" s="22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</row>
    <row r="123" spans="1:77" ht="20.25" customHeight="1">
      <c r="A123" s="10" t="s">
        <v>79</v>
      </c>
      <c r="B123" s="20" t="e">
        <f>B126+#REF!+B124</f>
        <v>#REF!</v>
      </c>
      <c r="C123" s="20" t="e">
        <f>C126+#REF!+C124</f>
        <v>#REF!</v>
      </c>
      <c r="D123" s="20" t="e">
        <f>D126+#REF!+D124</f>
        <v>#REF!</v>
      </c>
      <c r="E123" s="20" t="e">
        <f>E126+#REF!+E124</f>
        <v>#REF!</v>
      </c>
      <c r="F123" s="20" t="e">
        <f>F126+#REF!+F124</f>
        <v>#REF!</v>
      </c>
      <c r="G123" s="20" t="e">
        <f>G126+#REF!+G124</f>
        <v>#REF!</v>
      </c>
      <c r="H123" s="20" t="e">
        <f>H126+#REF!+H124</f>
        <v>#REF!</v>
      </c>
      <c r="I123" s="20" t="e">
        <f>I126+#REF!+I124</f>
        <v>#REF!</v>
      </c>
      <c r="J123" s="20" t="e">
        <f>J126+#REF!+J124</f>
        <v>#REF!</v>
      </c>
      <c r="K123" s="20" t="e">
        <f>K126+#REF!+K124</f>
        <v>#REF!</v>
      </c>
      <c r="L123" s="20" t="e">
        <f>L126+#REF!+L124</f>
        <v>#REF!</v>
      </c>
      <c r="M123" s="20" t="e">
        <f>M126+#REF!+M124</f>
        <v>#REF!</v>
      </c>
      <c r="N123" s="20" t="e">
        <f>N126+#REF!+N124</f>
        <v>#REF!</v>
      </c>
      <c r="O123" s="20" t="e">
        <f>O126+#REF!+O124</f>
        <v>#REF!</v>
      </c>
      <c r="P123" s="20">
        <f>P126+P124</f>
        <v>3160878</v>
      </c>
      <c r="Q123" s="20">
        <f t="shared" ref="Q123:AK123" si="120">Q126+Q124</f>
        <v>0</v>
      </c>
      <c r="R123" s="20">
        <f t="shared" si="120"/>
        <v>3160878</v>
      </c>
      <c r="S123" s="20">
        <f t="shared" si="120"/>
        <v>-38921</v>
      </c>
      <c r="T123" s="20">
        <f t="shared" si="120"/>
        <v>3121957</v>
      </c>
      <c r="U123" s="20">
        <f t="shared" si="120"/>
        <v>0</v>
      </c>
      <c r="V123" s="20">
        <f t="shared" si="120"/>
        <v>3121957</v>
      </c>
      <c r="W123" s="20">
        <f t="shared" si="120"/>
        <v>0</v>
      </c>
      <c r="X123" s="20">
        <f t="shared" si="120"/>
        <v>3121957</v>
      </c>
      <c r="Y123" s="20">
        <f t="shared" si="120"/>
        <v>0</v>
      </c>
      <c r="Z123" s="20">
        <f t="shared" si="120"/>
        <v>3121957</v>
      </c>
      <c r="AA123" s="20">
        <f t="shared" si="120"/>
        <v>0</v>
      </c>
      <c r="AB123" s="20">
        <f t="shared" si="120"/>
        <v>3121957</v>
      </c>
      <c r="AC123" s="20">
        <f t="shared" si="120"/>
        <v>0</v>
      </c>
      <c r="AD123" s="20">
        <f t="shared" si="120"/>
        <v>3121957</v>
      </c>
      <c r="AE123" s="20">
        <f t="shared" si="120"/>
        <v>0</v>
      </c>
      <c r="AF123" s="20">
        <f t="shared" si="120"/>
        <v>3121957</v>
      </c>
      <c r="AG123" s="20">
        <f t="shared" si="120"/>
        <v>0</v>
      </c>
      <c r="AH123" s="20">
        <f t="shared" si="120"/>
        <v>3121957</v>
      </c>
      <c r="AI123" s="20">
        <f t="shared" si="120"/>
        <v>2517000</v>
      </c>
      <c r="AJ123" s="20">
        <f t="shared" si="120"/>
        <v>0</v>
      </c>
      <c r="AK123" s="20">
        <f t="shared" si="120"/>
        <v>2517000</v>
      </c>
      <c r="AL123" s="10" t="s">
        <v>80</v>
      </c>
      <c r="AM123" s="17">
        <f>AM124</f>
        <v>2301142</v>
      </c>
      <c r="AN123" s="17">
        <f>AN124</f>
        <v>24819</v>
      </c>
      <c r="AO123" s="17">
        <f>AO124</f>
        <v>2325961</v>
      </c>
      <c r="AP123" s="17">
        <f>AP124</f>
        <v>13243</v>
      </c>
      <c r="AQ123" s="17">
        <f>AQ124</f>
        <v>2339204</v>
      </c>
      <c r="AR123" s="17">
        <f t="shared" ref="AR123:BH123" si="121">AR124</f>
        <v>32026</v>
      </c>
      <c r="AS123" s="17">
        <f t="shared" si="121"/>
        <v>2371230</v>
      </c>
      <c r="AT123" s="17">
        <f t="shared" si="121"/>
        <v>8373</v>
      </c>
      <c r="AU123" s="17">
        <f t="shared" si="121"/>
        <v>2379603</v>
      </c>
      <c r="AV123" s="17">
        <f t="shared" si="121"/>
        <v>16272</v>
      </c>
      <c r="AW123" s="17">
        <f t="shared" si="121"/>
        <v>2395875</v>
      </c>
      <c r="AX123" s="17">
        <f t="shared" si="121"/>
        <v>-16174</v>
      </c>
      <c r="AY123" s="17">
        <f t="shared" si="121"/>
        <v>2379701</v>
      </c>
      <c r="AZ123" s="17">
        <f t="shared" si="121"/>
        <v>7910</v>
      </c>
      <c r="BA123" s="17">
        <f t="shared" si="121"/>
        <v>2387611</v>
      </c>
      <c r="BB123" s="17">
        <f t="shared" si="121"/>
        <v>12884</v>
      </c>
      <c r="BC123" s="17">
        <f t="shared" si="121"/>
        <v>2400495</v>
      </c>
      <c r="BD123" s="17">
        <f t="shared" si="121"/>
        <v>7490</v>
      </c>
      <c r="BE123" s="17">
        <f t="shared" si="121"/>
        <v>2407985</v>
      </c>
      <c r="BF123" s="17">
        <f t="shared" si="121"/>
        <v>2434768</v>
      </c>
      <c r="BG123" s="17">
        <f t="shared" si="121"/>
        <v>28758</v>
      </c>
      <c r="BH123" s="17">
        <f t="shared" si="121"/>
        <v>2463526</v>
      </c>
    </row>
    <row r="124" spans="1:77">
      <c r="A124" s="12" t="s">
        <v>81</v>
      </c>
      <c r="B124" s="13" t="e">
        <f>B125+#REF!</f>
        <v>#REF!</v>
      </c>
      <c r="C124" s="13" t="e">
        <f>C125+#REF!</f>
        <v>#REF!</v>
      </c>
      <c r="D124" s="13" t="e">
        <f>D125+#REF!</f>
        <v>#REF!</v>
      </c>
      <c r="E124" s="13" t="e">
        <f>E125+#REF!</f>
        <v>#REF!</v>
      </c>
      <c r="F124" s="13" t="e">
        <f>F125+#REF!</f>
        <v>#REF!</v>
      </c>
      <c r="G124" s="13" t="e">
        <f>G125+#REF!</f>
        <v>#REF!</v>
      </c>
      <c r="H124" s="13" t="e">
        <f>H125+#REF!</f>
        <v>#REF!</v>
      </c>
      <c r="I124" s="13" t="e">
        <f>I125+#REF!</f>
        <v>#REF!</v>
      </c>
      <c r="J124" s="13" t="e">
        <f>J125+#REF!</f>
        <v>#REF!</v>
      </c>
      <c r="K124" s="13" t="e">
        <f>K125+#REF!</f>
        <v>#REF!</v>
      </c>
      <c r="L124" s="13" t="e">
        <f>L125+#REF!</f>
        <v>#REF!</v>
      </c>
      <c r="M124" s="13" t="e">
        <f>M125+#REF!</f>
        <v>#REF!</v>
      </c>
      <c r="N124" s="13" t="e">
        <f>N125+#REF!</f>
        <v>#REF!</v>
      </c>
      <c r="O124" s="13" t="e">
        <f>O125+#REF!</f>
        <v>#REF!</v>
      </c>
      <c r="P124" s="13">
        <f>P125</f>
        <v>0</v>
      </c>
      <c r="Q124" s="13"/>
      <c r="R124" s="379">
        <f>SUM(P124:Q124)</f>
        <v>0</v>
      </c>
      <c r="S124" s="379"/>
      <c r="T124" s="379">
        <f t="shared" si="91"/>
        <v>0</v>
      </c>
      <c r="U124" s="379"/>
      <c r="V124" s="13">
        <f t="shared" si="74"/>
        <v>0</v>
      </c>
      <c r="W124" s="13"/>
      <c r="X124" s="13">
        <f t="shared" si="88"/>
        <v>0</v>
      </c>
      <c r="Y124" s="13"/>
      <c r="Z124" s="13">
        <f t="shared" si="92"/>
        <v>0</v>
      </c>
      <c r="AA124" s="13"/>
      <c r="AB124" s="13">
        <f t="shared" si="85"/>
        <v>0</v>
      </c>
      <c r="AC124" s="13"/>
      <c r="AD124" s="13">
        <f t="shared" si="83"/>
        <v>0</v>
      </c>
      <c r="AE124" s="13"/>
      <c r="AF124" s="13">
        <f t="shared" si="80"/>
        <v>0</v>
      </c>
      <c r="AG124" s="13"/>
      <c r="AH124" s="13">
        <f t="shared" si="81"/>
        <v>0</v>
      </c>
      <c r="AI124" s="13"/>
      <c r="AJ124" s="13"/>
      <c r="AK124" s="13">
        <f t="shared" si="78"/>
        <v>0</v>
      </c>
      <c r="AL124" s="12" t="s">
        <v>82</v>
      </c>
      <c r="AM124" s="17">
        <f>AM125+AM126+AM127</f>
        <v>2301142</v>
      </c>
      <c r="AN124" s="17">
        <f t="shared" ref="AN124:AO124" si="122">AN125+AN126+AN127</f>
        <v>24819</v>
      </c>
      <c r="AO124" s="17">
        <f t="shared" si="122"/>
        <v>2325961</v>
      </c>
      <c r="AP124" s="17">
        <f t="shared" ref="AP124:AS124" si="123">AP125+AP126+AP127</f>
        <v>13243</v>
      </c>
      <c r="AQ124" s="17">
        <f t="shared" si="123"/>
        <v>2339204</v>
      </c>
      <c r="AR124" s="17">
        <f t="shared" si="123"/>
        <v>32026</v>
      </c>
      <c r="AS124" s="17">
        <f t="shared" si="123"/>
        <v>2371230</v>
      </c>
      <c r="AT124" s="17">
        <f t="shared" ref="AT124:AU124" si="124">AT125+AT126+AT127</f>
        <v>8373</v>
      </c>
      <c r="AU124" s="17">
        <f t="shared" si="124"/>
        <v>2379603</v>
      </c>
      <c r="AV124" s="17">
        <f t="shared" ref="AV124:BA124" si="125">AV125+AV126+AV127</f>
        <v>16272</v>
      </c>
      <c r="AW124" s="17">
        <f t="shared" si="125"/>
        <v>2395875</v>
      </c>
      <c r="AX124" s="17">
        <f t="shared" si="125"/>
        <v>-16174</v>
      </c>
      <c r="AY124" s="17">
        <f t="shared" si="125"/>
        <v>2379701</v>
      </c>
      <c r="AZ124" s="17">
        <f t="shared" si="125"/>
        <v>7910</v>
      </c>
      <c r="BA124" s="17">
        <f t="shared" si="125"/>
        <v>2387611</v>
      </c>
      <c r="BB124" s="17">
        <f t="shared" ref="BB124:BF124" si="126">BB125+BB126+BB127</f>
        <v>12884</v>
      </c>
      <c r="BC124" s="17">
        <f t="shared" si="126"/>
        <v>2400495</v>
      </c>
      <c r="BD124" s="17">
        <f t="shared" si="126"/>
        <v>7490</v>
      </c>
      <c r="BE124" s="17">
        <f t="shared" si="126"/>
        <v>2407985</v>
      </c>
      <c r="BF124" s="17">
        <f t="shared" si="126"/>
        <v>2434768</v>
      </c>
      <c r="BG124" s="17">
        <f t="shared" ref="BG124:BH124" si="127">BG125+BG126+BG127</f>
        <v>28758</v>
      </c>
      <c r="BH124" s="17">
        <f t="shared" si="127"/>
        <v>2463526</v>
      </c>
    </row>
    <row r="125" spans="1:77">
      <c r="A125" s="18" t="s">
        <v>409</v>
      </c>
      <c r="B125" s="13"/>
      <c r="C125" s="379">
        <f>SUM(B125:B125)</f>
        <v>0</v>
      </c>
      <c r="D125" s="379"/>
      <c r="E125" s="379">
        <f>SUM(C125:D125)</f>
        <v>0</v>
      </c>
      <c r="F125" s="379"/>
      <c r="G125" s="379">
        <f t="shared" si="87"/>
        <v>0</v>
      </c>
      <c r="H125" s="379"/>
      <c r="I125" s="379">
        <f>SUM(G125:H125)</f>
        <v>0</v>
      </c>
      <c r="J125" s="379"/>
      <c r="K125" s="379">
        <f>SUM(I125:J125)</f>
        <v>0</v>
      </c>
      <c r="L125" s="379"/>
      <c r="M125" s="379">
        <f t="shared" si="82"/>
        <v>0</v>
      </c>
      <c r="N125" s="379"/>
      <c r="O125" s="379">
        <f>SUM(M125:N125)</f>
        <v>0</v>
      </c>
      <c r="P125" s="379"/>
      <c r="Q125" s="379"/>
      <c r="R125" s="379">
        <f>SUM(P125:Q125)</f>
        <v>0</v>
      </c>
      <c r="S125" s="379"/>
      <c r="T125" s="379">
        <f t="shared" si="91"/>
        <v>0</v>
      </c>
      <c r="U125" s="379"/>
      <c r="V125" s="13">
        <f t="shared" si="74"/>
        <v>0</v>
      </c>
      <c r="W125" s="13"/>
      <c r="X125" s="13">
        <f t="shared" si="88"/>
        <v>0</v>
      </c>
      <c r="Y125" s="13"/>
      <c r="Z125" s="13">
        <f t="shared" si="92"/>
        <v>0</v>
      </c>
      <c r="AA125" s="13"/>
      <c r="AB125" s="13">
        <f t="shared" si="85"/>
        <v>0</v>
      </c>
      <c r="AC125" s="13"/>
      <c r="AD125" s="13">
        <f t="shared" si="83"/>
        <v>0</v>
      </c>
      <c r="AE125" s="13"/>
      <c r="AF125" s="13">
        <f t="shared" si="80"/>
        <v>0</v>
      </c>
      <c r="AG125" s="13"/>
      <c r="AH125" s="13">
        <f t="shared" si="81"/>
        <v>0</v>
      </c>
      <c r="AI125" s="13"/>
      <c r="AJ125" s="13"/>
      <c r="AK125" s="13">
        <f t="shared" si="78"/>
        <v>0</v>
      </c>
      <c r="AL125" s="12" t="s">
        <v>83</v>
      </c>
      <c r="AM125" s="18"/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  <c r="BF125" s="18"/>
      <c r="BG125" s="18"/>
      <c r="BH125" s="18"/>
    </row>
    <row r="126" spans="1:77" ht="30">
      <c r="A126" s="12" t="s">
        <v>84</v>
      </c>
      <c r="B126" s="13">
        <f t="shared" ref="B126:AK126" si="128">B127</f>
        <v>0</v>
      </c>
      <c r="C126" s="13">
        <f t="shared" si="128"/>
        <v>0</v>
      </c>
      <c r="D126" s="13">
        <f t="shared" si="128"/>
        <v>6265</v>
      </c>
      <c r="E126" s="13">
        <f t="shared" si="128"/>
        <v>6265</v>
      </c>
      <c r="F126" s="13">
        <f t="shared" si="128"/>
        <v>0</v>
      </c>
      <c r="G126" s="13">
        <f t="shared" si="128"/>
        <v>6265</v>
      </c>
      <c r="H126" s="13">
        <f t="shared" si="128"/>
        <v>0</v>
      </c>
      <c r="I126" s="13">
        <f t="shared" si="128"/>
        <v>6265</v>
      </c>
      <c r="J126" s="13">
        <f t="shared" si="128"/>
        <v>0</v>
      </c>
      <c r="K126" s="13">
        <f t="shared" si="128"/>
        <v>6265</v>
      </c>
      <c r="L126" s="13">
        <f t="shared" si="128"/>
        <v>0</v>
      </c>
      <c r="M126" s="13">
        <f t="shared" si="128"/>
        <v>6265</v>
      </c>
      <c r="N126" s="13">
        <f t="shared" si="128"/>
        <v>0</v>
      </c>
      <c r="O126" s="13">
        <f t="shared" si="128"/>
        <v>6265</v>
      </c>
      <c r="P126" s="13">
        <f t="shared" si="128"/>
        <v>3160878</v>
      </c>
      <c r="Q126" s="13">
        <f t="shared" si="128"/>
        <v>0</v>
      </c>
      <c r="R126" s="13">
        <f t="shared" si="128"/>
        <v>3160878</v>
      </c>
      <c r="S126" s="13">
        <f t="shared" si="128"/>
        <v>-38921</v>
      </c>
      <c r="T126" s="13">
        <f t="shared" si="128"/>
        <v>3121957</v>
      </c>
      <c r="U126" s="13">
        <f t="shared" si="128"/>
        <v>0</v>
      </c>
      <c r="V126" s="13">
        <f t="shared" si="128"/>
        <v>3121957</v>
      </c>
      <c r="W126" s="13">
        <f t="shared" si="128"/>
        <v>0</v>
      </c>
      <c r="X126" s="13">
        <f t="shared" si="128"/>
        <v>3121957</v>
      </c>
      <c r="Y126" s="13">
        <f t="shared" si="128"/>
        <v>0</v>
      </c>
      <c r="Z126" s="13">
        <f t="shared" si="128"/>
        <v>3121957</v>
      </c>
      <c r="AA126" s="13">
        <f t="shared" si="128"/>
        <v>0</v>
      </c>
      <c r="AB126" s="13">
        <f t="shared" si="128"/>
        <v>3121957</v>
      </c>
      <c r="AC126" s="13">
        <f t="shared" si="128"/>
        <v>0</v>
      </c>
      <c r="AD126" s="13">
        <f t="shared" si="128"/>
        <v>3121957</v>
      </c>
      <c r="AE126" s="13">
        <f t="shared" si="128"/>
        <v>0</v>
      </c>
      <c r="AF126" s="13">
        <f t="shared" si="128"/>
        <v>3121957</v>
      </c>
      <c r="AG126" s="13">
        <f t="shared" si="128"/>
        <v>0</v>
      </c>
      <c r="AH126" s="13">
        <f t="shared" si="128"/>
        <v>3121957</v>
      </c>
      <c r="AI126" s="13">
        <f t="shared" si="128"/>
        <v>2517000</v>
      </c>
      <c r="AJ126" s="13">
        <f t="shared" si="128"/>
        <v>0</v>
      </c>
      <c r="AK126" s="13">
        <f t="shared" si="128"/>
        <v>2517000</v>
      </c>
      <c r="AL126" s="12" t="s">
        <v>554</v>
      </c>
      <c r="AM126" s="17">
        <v>54652</v>
      </c>
      <c r="AN126" s="17"/>
      <c r="AO126" s="17">
        <f>SUM(AM126:AN126)</f>
        <v>54652</v>
      </c>
      <c r="AP126" s="17"/>
      <c r="AQ126" s="17">
        <f>SUM(AO126:AP126)</f>
        <v>54652</v>
      </c>
      <c r="AR126" s="17"/>
      <c r="AS126" s="17">
        <f>SUM(AQ126:AR126)</f>
        <v>54652</v>
      </c>
      <c r="AT126" s="17"/>
      <c r="AU126" s="17">
        <f>SUM(AS126:AT126)</f>
        <v>54652</v>
      </c>
      <c r="AV126" s="17"/>
      <c r="AW126" s="17">
        <f>SUM(AU126:AV126)</f>
        <v>54652</v>
      </c>
      <c r="AX126" s="17"/>
      <c r="AY126" s="17">
        <f>SUM(AW126:AX126)</f>
        <v>54652</v>
      </c>
      <c r="AZ126" s="17"/>
      <c r="BA126" s="17">
        <f t="shared" ref="BA126:BC126" si="129">SUM(AY126:AZ126)</f>
        <v>54652</v>
      </c>
      <c r="BB126" s="17"/>
      <c r="BC126" s="17">
        <f t="shared" si="129"/>
        <v>54652</v>
      </c>
      <c r="BD126" s="17"/>
      <c r="BE126" s="17">
        <f>SUM(BC126:BD126)</f>
        <v>54652</v>
      </c>
      <c r="BF126" s="17">
        <v>70192</v>
      </c>
      <c r="BG126" s="17"/>
      <c r="BH126" s="17">
        <v>70192</v>
      </c>
    </row>
    <row r="127" spans="1:77" ht="30">
      <c r="A127" s="380" t="s">
        <v>85</v>
      </c>
      <c r="B127" s="13"/>
      <c r="C127" s="379">
        <f>SUM(B127:B127)</f>
        <v>0</v>
      </c>
      <c r="D127" s="379">
        <v>6265</v>
      </c>
      <c r="E127" s="379">
        <f>SUM(C127:D127)</f>
        <v>6265</v>
      </c>
      <c r="F127" s="379"/>
      <c r="G127" s="379">
        <f t="shared" si="87"/>
        <v>6265</v>
      </c>
      <c r="H127" s="379"/>
      <c r="I127" s="379">
        <f>SUM(G127:H127)</f>
        <v>6265</v>
      </c>
      <c r="J127" s="379"/>
      <c r="K127" s="379">
        <f>SUM(I127:J127)</f>
        <v>6265</v>
      </c>
      <c r="L127" s="379"/>
      <c r="M127" s="379">
        <f t="shared" si="82"/>
        <v>6265</v>
      </c>
      <c r="N127" s="379"/>
      <c r="O127" s="379">
        <f>SUM(M127:N127)</f>
        <v>6265</v>
      </c>
      <c r="P127" s="379">
        <f>2494406+749363+2109-85000</f>
        <v>3160878</v>
      </c>
      <c r="Q127" s="379"/>
      <c r="R127" s="379">
        <f>SUM(P127:Q127)</f>
        <v>3160878</v>
      </c>
      <c r="S127" s="379">
        <v>-38921</v>
      </c>
      <c r="T127" s="379">
        <f t="shared" si="91"/>
        <v>3121957</v>
      </c>
      <c r="U127" s="379"/>
      <c r="V127" s="13">
        <f t="shared" si="74"/>
        <v>3121957</v>
      </c>
      <c r="W127" s="13"/>
      <c r="X127" s="13">
        <f t="shared" si="88"/>
        <v>3121957</v>
      </c>
      <c r="Y127" s="13"/>
      <c r="Z127" s="13">
        <f t="shared" si="92"/>
        <v>3121957</v>
      </c>
      <c r="AA127" s="13"/>
      <c r="AB127" s="13">
        <f t="shared" si="85"/>
        <v>3121957</v>
      </c>
      <c r="AC127" s="13"/>
      <c r="AD127" s="13">
        <f t="shared" si="83"/>
        <v>3121957</v>
      </c>
      <c r="AE127" s="13"/>
      <c r="AF127" s="13">
        <f t="shared" si="80"/>
        <v>3121957</v>
      </c>
      <c r="AG127" s="13"/>
      <c r="AH127" s="13">
        <f t="shared" ref="AH127" si="130">SUM(AF127:AG127)</f>
        <v>3121957</v>
      </c>
      <c r="AI127" s="13">
        <v>2517000</v>
      </c>
      <c r="AJ127" s="13"/>
      <c r="AK127" s="13">
        <f t="shared" si="78"/>
        <v>2517000</v>
      </c>
      <c r="AL127" s="12" t="s">
        <v>555</v>
      </c>
      <c r="AM127" s="18">
        <f t="shared" ref="AM127:AW127" si="131">P248</f>
        <v>2246490</v>
      </c>
      <c r="AN127" s="18">
        <f t="shared" si="131"/>
        <v>24819</v>
      </c>
      <c r="AO127" s="18">
        <f t="shared" si="131"/>
        <v>2271309</v>
      </c>
      <c r="AP127" s="18">
        <f t="shared" si="131"/>
        <v>13243</v>
      </c>
      <c r="AQ127" s="18">
        <f t="shared" si="131"/>
        <v>2284552</v>
      </c>
      <c r="AR127" s="18">
        <f t="shared" si="131"/>
        <v>32026</v>
      </c>
      <c r="AS127" s="18">
        <f t="shared" si="131"/>
        <v>2316578</v>
      </c>
      <c r="AT127" s="18">
        <f t="shared" si="131"/>
        <v>8373</v>
      </c>
      <c r="AU127" s="18">
        <f t="shared" si="131"/>
        <v>2324951</v>
      </c>
      <c r="AV127" s="18">
        <f t="shared" si="131"/>
        <v>16272</v>
      </c>
      <c r="AW127" s="18">
        <f t="shared" si="131"/>
        <v>2341223</v>
      </c>
      <c r="AX127" s="18">
        <f t="shared" ref="AX127" si="132">AA248</f>
        <v>-16174</v>
      </c>
      <c r="AY127" s="18">
        <f t="shared" ref="AY127" si="133">AB248</f>
        <v>2325049</v>
      </c>
      <c r="AZ127" s="18">
        <f t="shared" ref="AZ127" si="134">AC248</f>
        <v>7910</v>
      </c>
      <c r="BA127" s="18">
        <f t="shared" ref="BA127" si="135">AD248</f>
        <v>2332959</v>
      </c>
      <c r="BB127" s="18">
        <f t="shared" ref="BB127" si="136">AE248</f>
        <v>12884</v>
      </c>
      <c r="BC127" s="18">
        <f t="shared" ref="BC127" si="137">AF248</f>
        <v>2345843</v>
      </c>
      <c r="BD127" s="18">
        <f t="shared" ref="BD127" si="138">AG248</f>
        <v>7490</v>
      </c>
      <c r="BE127" s="18">
        <f>AH248</f>
        <v>2353333</v>
      </c>
      <c r="BF127" s="18">
        <f>AI248</f>
        <v>2364576</v>
      </c>
      <c r="BG127" s="18">
        <f>AJ248</f>
        <v>28758</v>
      </c>
      <c r="BH127" s="18">
        <f>AK248</f>
        <v>2393334</v>
      </c>
    </row>
    <row r="128" spans="1:77" s="30" customFormat="1" ht="18.75">
      <c r="A128" s="28" t="s">
        <v>86</v>
      </c>
      <c r="B128" s="29" t="e">
        <f t="shared" ref="B128:AK128" si="139">B122+B123</f>
        <v>#REF!</v>
      </c>
      <c r="C128" s="29" t="e">
        <f t="shared" si="139"/>
        <v>#REF!</v>
      </c>
      <c r="D128" s="29" t="e">
        <f t="shared" si="139"/>
        <v>#REF!</v>
      </c>
      <c r="E128" s="29" t="e">
        <f t="shared" si="139"/>
        <v>#REF!</v>
      </c>
      <c r="F128" s="29" t="e">
        <f t="shared" si="139"/>
        <v>#REF!</v>
      </c>
      <c r="G128" s="29" t="e">
        <f t="shared" si="139"/>
        <v>#REF!</v>
      </c>
      <c r="H128" s="29" t="e">
        <f t="shared" si="139"/>
        <v>#REF!</v>
      </c>
      <c r="I128" s="29" t="e">
        <f t="shared" si="139"/>
        <v>#REF!</v>
      </c>
      <c r="J128" s="29" t="e">
        <f t="shared" si="139"/>
        <v>#REF!</v>
      </c>
      <c r="K128" s="29" t="e">
        <f t="shared" si="139"/>
        <v>#REF!</v>
      </c>
      <c r="L128" s="29" t="e">
        <f t="shared" si="139"/>
        <v>#REF!</v>
      </c>
      <c r="M128" s="29" t="e">
        <f t="shared" si="139"/>
        <v>#REF!</v>
      </c>
      <c r="N128" s="29" t="e">
        <f t="shared" si="139"/>
        <v>#REF!</v>
      </c>
      <c r="O128" s="29" t="e">
        <f t="shared" si="139"/>
        <v>#REF!</v>
      </c>
      <c r="P128" s="29">
        <f t="shared" si="139"/>
        <v>9444613.9900000002</v>
      </c>
      <c r="Q128" s="29">
        <f t="shared" si="139"/>
        <v>28003</v>
      </c>
      <c r="R128" s="29">
        <f t="shared" si="139"/>
        <v>9472616.9900000002</v>
      </c>
      <c r="S128" s="29">
        <f t="shared" si="139"/>
        <v>14216</v>
      </c>
      <c r="T128" s="29">
        <f t="shared" si="139"/>
        <v>9486832.9900000002</v>
      </c>
      <c r="U128" s="29">
        <f t="shared" si="139"/>
        <v>17169</v>
      </c>
      <c r="V128" s="29">
        <f t="shared" si="139"/>
        <v>9504001.9900000002</v>
      </c>
      <c r="W128" s="29">
        <f t="shared" si="139"/>
        <v>300268</v>
      </c>
      <c r="X128" s="29">
        <f t="shared" si="139"/>
        <v>9804269.9900000002</v>
      </c>
      <c r="Y128" s="29">
        <f t="shared" si="139"/>
        <v>186557</v>
      </c>
      <c r="Z128" s="29">
        <f t="shared" si="139"/>
        <v>9990826.9900000002</v>
      </c>
      <c r="AA128" s="29">
        <f t="shared" si="139"/>
        <v>33117</v>
      </c>
      <c r="AB128" s="29">
        <f t="shared" si="139"/>
        <v>10023943.99</v>
      </c>
      <c r="AC128" s="29">
        <f t="shared" si="139"/>
        <v>383182</v>
      </c>
      <c r="AD128" s="29">
        <f t="shared" si="139"/>
        <v>10407125.99</v>
      </c>
      <c r="AE128" s="29">
        <f t="shared" si="139"/>
        <v>11885</v>
      </c>
      <c r="AF128" s="29">
        <f t="shared" si="139"/>
        <v>10419010.99</v>
      </c>
      <c r="AG128" s="29">
        <f t="shared" si="139"/>
        <v>-17354</v>
      </c>
      <c r="AH128" s="29">
        <f t="shared" si="139"/>
        <v>10401656.99</v>
      </c>
      <c r="AI128" s="29">
        <f t="shared" si="139"/>
        <v>7938709</v>
      </c>
      <c r="AJ128" s="29">
        <f t="shared" si="139"/>
        <v>77288</v>
      </c>
      <c r="AK128" s="29">
        <f t="shared" si="139"/>
        <v>8015997</v>
      </c>
      <c r="AL128" s="28" t="s">
        <v>87</v>
      </c>
      <c r="AM128" s="424">
        <f>AM122+AM123</f>
        <v>9444614</v>
      </c>
      <c r="AN128" s="424" t="e">
        <f>AN122+AN123</f>
        <v>#REF!</v>
      </c>
      <c r="AO128" s="424" t="e">
        <f>AO122+AO123</f>
        <v>#REF!</v>
      </c>
      <c r="AP128" s="424" t="e">
        <f>AP122+AP123</f>
        <v>#REF!</v>
      </c>
      <c r="AQ128" s="424" t="e">
        <f>AQ122+AQ123</f>
        <v>#REF!</v>
      </c>
      <c r="AR128" s="424" t="e">
        <f t="shared" ref="AR128:AS128" si="140">AR122+AR123</f>
        <v>#REF!</v>
      </c>
      <c r="AS128" s="424" t="e">
        <f t="shared" si="140"/>
        <v>#REF!</v>
      </c>
      <c r="AT128" s="424" t="e">
        <f t="shared" ref="AT128:AU128" si="141">AT122+AT123</f>
        <v>#REF!</v>
      </c>
      <c r="AU128" s="424" t="e">
        <f t="shared" si="141"/>
        <v>#REF!</v>
      </c>
      <c r="AV128" s="424" t="e">
        <f t="shared" ref="AV128:BA128" si="142">AV122+AV123</f>
        <v>#REF!</v>
      </c>
      <c r="AW128" s="424" t="e">
        <f t="shared" si="142"/>
        <v>#REF!</v>
      </c>
      <c r="AX128" s="424" t="e">
        <f t="shared" si="142"/>
        <v>#REF!</v>
      </c>
      <c r="AY128" s="424" t="e">
        <f t="shared" si="142"/>
        <v>#REF!</v>
      </c>
      <c r="AZ128" s="424" t="e">
        <f t="shared" si="142"/>
        <v>#REF!</v>
      </c>
      <c r="BA128" s="424" t="e">
        <f t="shared" si="142"/>
        <v>#REF!</v>
      </c>
      <c r="BB128" s="424" t="e">
        <f t="shared" ref="BB128:BC128" si="143">BB122+BB123</f>
        <v>#REF!</v>
      </c>
      <c r="BC128" s="424" t="e">
        <f t="shared" si="143"/>
        <v>#REF!</v>
      </c>
      <c r="BD128" s="424" t="e">
        <f t="shared" ref="BD128:BE128" si="144">BD122+BD123</f>
        <v>#REF!</v>
      </c>
      <c r="BE128" s="424" t="e">
        <f t="shared" si="144"/>
        <v>#REF!</v>
      </c>
      <c r="BF128" s="424">
        <f t="shared" ref="BF128:BG128" si="145">BF122+BF123</f>
        <v>7938709</v>
      </c>
      <c r="BG128" s="424">
        <f t="shared" si="145"/>
        <v>77288</v>
      </c>
      <c r="BH128" s="424">
        <f t="shared" ref="BH128" si="146">BH122+BH123</f>
        <v>8015997</v>
      </c>
    </row>
    <row r="129" spans="1:213" s="30" customFormat="1" ht="18.75">
      <c r="A129" s="28" t="s">
        <v>88</v>
      </c>
      <c r="B129" s="31" t="e">
        <f t="shared" ref="B129:AK129" si="147">B8+B68+B85+B100+B123-B258</f>
        <v>#REF!</v>
      </c>
      <c r="C129" s="31" t="e">
        <f t="shared" si="147"/>
        <v>#REF!</v>
      </c>
      <c r="D129" s="31" t="e">
        <f t="shared" si="147"/>
        <v>#REF!</v>
      </c>
      <c r="E129" s="31" t="e">
        <f t="shared" si="147"/>
        <v>#REF!</v>
      </c>
      <c r="F129" s="31" t="e">
        <f t="shared" si="147"/>
        <v>#REF!</v>
      </c>
      <c r="G129" s="31" t="e">
        <f t="shared" si="147"/>
        <v>#REF!</v>
      </c>
      <c r="H129" s="31" t="e">
        <f t="shared" si="147"/>
        <v>#REF!</v>
      </c>
      <c r="I129" s="31" t="e">
        <f t="shared" si="147"/>
        <v>#REF!</v>
      </c>
      <c r="J129" s="31" t="e">
        <f t="shared" si="147"/>
        <v>#REF!</v>
      </c>
      <c r="K129" s="31" t="e">
        <f t="shared" si="147"/>
        <v>#REF!</v>
      </c>
      <c r="L129" s="31" t="e">
        <f t="shared" si="147"/>
        <v>#REF!</v>
      </c>
      <c r="M129" s="31" t="e">
        <f t="shared" si="147"/>
        <v>#REF!</v>
      </c>
      <c r="N129" s="31" t="e">
        <f t="shared" si="147"/>
        <v>#REF!</v>
      </c>
      <c r="O129" s="31" t="e">
        <f t="shared" si="147"/>
        <v>#REF!</v>
      </c>
      <c r="P129" s="31">
        <f t="shared" si="147"/>
        <v>5597361.9900000002</v>
      </c>
      <c r="Q129" s="31">
        <f t="shared" si="147"/>
        <v>28003</v>
      </c>
      <c r="R129" s="31">
        <f t="shared" si="147"/>
        <v>5625364.9900000002</v>
      </c>
      <c r="S129" s="31">
        <f t="shared" si="147"/>
        <v>-117522</v>
      </c>
      <c r="T129" s="31">
        <f t="shared" si="147"/>
        <v>5507842.9900000002</v>
      </c>
      <c r="U129" s="31">
        <f t="shared" si="147"/>
        <v>16799</v>
      </c>
      <c r="V129" s="31">
        <f t="shared" si="147"/>
        <v>5524641.9900000002</v>
      </c>
      <c r="W129" s="31">
        <f t="shared" si="147"/>
        <v>159282</v>
      </c>
      <c r="X129" s="31">
        <f t="shared" si="147"/>
        <v>5683923.9900000002</v>
      </c>
      <c r="Y129" s="31">
        <f t="shared" si="147"/>
        <v>70039</v>
      </c>
      <c r="Z129" s="31">
        <f t="shared" si="147"/>
        <v>5753962.9900000002</v>
      </c>
      <c r="AA129" s="31">
        <f t="shared" si="147"/>
        <v>33117</v>
      </c>
      <c r="AB129" s="31">
        <f t="shared" si="147"/>
        <v>5787079.9900000002</v>
      </c>
      <c r="AC129" s="31">
        <f t="shared" si="147"/>
        <v>14182</v>
      </c>
      <c r="AD129" s="31">
        <f t="shared" si="147"/>
        <v>5801261.9900000002</v>
      </c>
      <c r="AE129" s="31">
        <f t="shared" si="147"/>
        <v>7640</v>
      </c>
      <c r="AF129" s="31">
        <f t="shared" si="147"/>
        <v>5808901.9900000002</v>
      </c>
      <c r="AG129" s="31">
        <f t="shared" si="147"/>
        <v>2646</v>
      </c>
      <c r="AH129" s="31">
        <f t="shared" si="147"/>
        <v>5811547.9900000002</v>
      </c>
      <c r="AI129" s="31">
        <f t="shared" si="147"/>
        <v>5364968</v>
      </c>
      <c r="AJ129" s="31">
        <f t="shared" si="147"/>
        <v>76777</v>
      </c>
      <c r="AK129" s="31">
        <f t="shared" si="147"/>
        <v>5441745</v>
      </c>
      <c r="AL129" s="28" t="s">
        <v>89</v>
      </c>
      <c r="AM129" s="424">
        <f>AM8+AM9+AM11+AM12+AM123+AM10-'Célf.'!Q15</f>
        <v>4091452</v>
      </c>
      <c r="AN129" s="424" t="e">
        <f>AN8+AN9+AN11+AN12+AN123+AN10-'Célf.'!R15</f>
        <v>#REF!</v>
      </c>
      <c r="AO129" s="424" t="e">
        <f>AO8+AO9+AO11+AO12+AO123+AO10-'Célf.'!S15</f>
        <v>#REF!</v>
      </c>
      <c r="AP129" s="424" t="e">
        <f>AP8+AP9+AP11+AP12+AP123+AP10-'Célf.'!T15</f>
        <v>#REF!</v>
      </c>
      <c r="AQ129" s="424" t="e">
        <f>AQ8+AQ9+AQ11+AQ12+AQ123+AQ10-'Célf.'!U15</f>
        <v>#REF!</v>
      </c>
      <c r="AR129" s="424" t="e">
        <f>AR8+AR9+AR11+AR12+AR123+AR10-'Célf.'!V15</f>
        <v>#REF!</v>
      </c>
      <c r="AS129" s="424" t="e">
        <f>AS8+AS9+AS11+AS12+AS123+AS10-'Célf.'!W15</f>
        <v>#REF!</v>
      </c>
      <c r="AT129" s="424" t="e">
        <f>AT8+AT9+AT11+AT12+AT123+AT10-'Célf.'!X15</f>
        <v>#REF!</v>
      </c>
      <c r="AU129" s="424" t="e">
        <f>AU8+AU9+AU11+AU12+AU123+AU10-'Célf.'!Y15</f>
        <v>#REF!</v>
      </c>
      <c r="AV129" s="424" t="e">
        <f>AV8+AV9+AV11+AV12+AV123+AV10-'Célf.'!Z15</f>
        <v>#REF!</v>
      </c>
      <c r="AW129" s="424" t="e">
        <f>AW8+AW9+AW11+AW12+AW123+AW10-'Célf.'!AA15</f>
        <v>#REF!</v>
      </c>
      <c r="AX129" s="424" t="e">
        <f>AX8+AX9+AX11+AX12+AX123+AX10-'Célf.'!AB15</f>
        <v>#REF!</v>
      </c>
      <c r="AY129" s="424" t="e">
        <f>AY8+AY9+AY11+AY12+AY123+AY10-'Célf.'!AC15</f>
        <v>#REF!</v>
      </c>
      <c r="AZ129" s="424" t="e">
        <f>AZ8+AZ9+AZ11+AZ12+AZ123+AZ10-'Célf.'!AD15</f>
        <v>#REF!</v>
      </c>
      <c r="BA129" s="424" t="e">
        <f>BA8+BA9+BA11+BA12+BA123+BA10-'Célf.'!AE15</f>
        <v>#REF!</v>
      </c>
      <c r="BB129" s="424" t="e">
        <f>BB8+BB9+BB11+BB12+BB123+BB10-'Célf.'!AF15</f>
        <v>#REF!</v>
      </c>
      <c r="BC129" s="424" t="e">
        <f>BC8+BC9+BC11+BC12+BC123+BC10-'Célf.'!AG15</f>
        <v>#REF!</v>
      </c>
      <c r="BD129" s="424" t="e">
        <f>BD8+BD9+BD11+BD12+BD123+BD10-'Célf.'!AH15</f>
        <v>#REF!</v>
      </c>
      <c r="BE129" s="424" t="e">
        <f>BE8+BE9+BE11+BE12+BE123+BE10-'Célf.'!AI15</f>
        <v>#REF!</v>
      </c>
      <c r="BF129" s="424">
        <f>BF8+BF9+BF11+BF12+BF123+BF10-'Célf.'!AJ15</f>
        <v>4097233</v>
      </c>
      <c r="BG129" s="424">
        <f>BG8+BG9+BG11+BG12+BG123+BG10-'Célf.'!AK15</f>
        <v>16990</v>
      </c>
      <c r="BH129" s="424">
        <f>BH8+BH9+BH11+BH12+BH123+BH10-'Célf.'!AL15</f>
        <v>4114223</v>
      </c>
    </row>
    <row r="130" spans="1:213" s="30" customFormat="1" ht="18.75">
      <c r="A130" s="28" t="s">
        <v>90</v>
      </c>
      <c r="B130" s="31" t="e">
        <f t="shared" ref="B130:AK130" si="148">B53+B97+B113+B258</f>
        <v>#REF!</v>
      </c>
      <c r="C130" s="31" t="e">
        <f t="shared" si="148"/>
        <v>#REF!</v>
      </c>
      <c r="D130" s="31" t="e">
        <f t="shared" si="148"/>
        <v>#REF!</v>
      </c>
      <c r="E130" s="31" t="e">
        <f t="shared" si="148"/>
        <v>#REF!</v>
      </c>
      <c r="F130" s="31" t="e">
        <f t="shared" si="148"/>
        <v>#REF!</v>
      </c>
      <c r="G130" s="31" t="e">
        <f t="shared" si="148"/>
        <v>#REF!</v>
      </c>
      <c r="H130" s="31" t="e">
        <f t="shared" si="148"/>
        <v>#REF!</v>
      </c>
      <c r="I130" s="31" t="e">
        <f t="shared" si="148"/>
        <v>#REF!</v>
      </c>
      <c r="J130" s="31" t="e">
        <f t="shared" si="148"/>
        <v>#REF!</v>
      </c>
      <c r="K130" s="31" t="e">
        <f t="shared" si="148"/>
        <v>#REF!</v>
      </c>
      <c r="L130" s="31" t="e">
        <f t="shared" si="148"/>
        <v>#REF!</v>
      </c>
      <c r="M130" s="31" t="e">
        <f t="shared" si="148"/>
        <v>#REF!</v>
      </c>
      <c r="N130" s="31" t="e">
        <f t="shared" si="148"/>
        <v>#REF!</v>
      </c>
      <c r="O130" s="31" t="e">
        <f t="shared" si="148"/>
        <v>#REF!</v>
      </c>
      <c r="P130" s="31">
        <f t="shared" si="148"/>
        <v>3847252</v>
      </c>
      <c r="Q130" s="31">
        <f t="shared" si="148"/>
        <v>0</v>
      </c>
      <c r="R130" s="31">
        <f t="shared" si="148"/>
        <v>3847252</v>
      </c>
      <c r="S130" s="31">
        <f t="shared" si="148"/>
        <v>131738</v>
      </c>
      <c r="T130" s="31">
        <f t="shared" si="148"/>
        <v>3978990</v>
      </c>
      <c r="U130" s="31">
        <f t="shared" si="148"/>
        <v>370</v>
      </c>
      <c r="V130" s="31">
        <f t="shared" si="148"/>
        <v>3979360</v>
      </c>
      <c r="W130" s="31">
        <f t="shared" si="148"/>
        <v>140986</v>
      </c>
      <c r="X130" s="31">
        <f t="shared" si="148"/>
        <v>4120346</v>
      </c>
      <c r="Y130" s="31">
        <f t="shared" si="148"/>
        <v>116518</v>
      </c>
      <c r="Z130" s="31">
        <f t="shared" si="148"/>
        <v>4236864</v>
      </c>
      <c r="AA130" s="31">
        <f t="shared" si="148"/>
        <v>0</v>
      </c>
      <c r="AB130" s="31">
        <f t="shared" si="148"/>
        <v>4236864</v>
      </c>
      <c r="AC130" s="31">
        <f t="shared" si="148"/>
        <v>369000</v>
      </c>
      <c r="AD130" s="31">
        <f t="shared" si="148"/>
        <v>4605864</v>
      </c>
      <c r="AE130" s="31">
        <f t="shared" si="148"/>
        <v>4245</v>
      </c>
      <c r="AF130" s="31">
        <f t="shared" si="148"/>
        <v>4610109</v>
      </c>
      <c r="AG130" s="31">
        <f t="shared" si="148"/>
        <v>-20000</v>
      </c>
      <c r="AH130" s="31">
        <f t="shared" si="148"/>
        <v>4590109</v>
      </c>
      <c r="AI130" s="31">
        <f t="shared" si="148"/>
        <v>2573741</v>
      </c>
      <c r="AJ130" s="31">
        <f t="shared" si="148"/>
        <v>511</v>
      </c>
      <c r="AK130" s="31">
        <f t="shared" si="148"/>
        <v>2574252</v>
      </c>
      <c r="AL130" s="28" t="s">
        <v>91</v>
      </c>
      <c r="AM130" s="424">
        <f>AM54+AM55+AM56+'Célf.'!Q15</f>
        <v>5353162</v>
      </c>
      <c r="AN130" s="424" t="e">
        <f>AN54+AN55+AN56+'Célf.'!R15</f>
        <v>#REF!</v>
      </c>
      <c r="AO130" s="424" t="e">
        <f>AO54+AO55+AO56+'Célf.'!S15</f>
        <v>#REF!</v>
      </c>
      <c r="AP130" s="424" t="e">
        <f>AP54+AP55+AP56+'Célf.'!T15</f>
        <v>#REF!</v>
      </c>
      <c r="AQ130" s="424" t="e">
        <f>AQ54+AQ55+AQ56+'Célf.'!U15</f>
        <v>#REF!</v>
      </c>
      <c r="AR130" s="424" t="e">
        <f>AR54+AR55+AR56+'Célf.'!V15</f>
        <v>#REF!</v>
      </c>
      <c r="AS130" s="424" t="e">
        <f>AS54+AS55+AS56+'Célf.'!W15</f>
        <v>#REF!</v>
      </c>
      <c r="AT130" s="424" t="e">
        <f>AT54+AT55+AT56+'Célf.'!X15</f>
        <v>#REF!</v>
      </c>
      <c r="AU130" s="424" t="e">
        <f>AU54+AU55+AU56+'Célf.'!Y15</f>
        <v>#REF!</v>
      </c>
      <c r="AV130" s="424" t="e">
        <f>AV54+AV55+AV56+'Célf.'!Z15</f>
        <v>#REF!</v>
      </c>
      <c r="AW130" s="424" t="e">
        <f>AW54+AW55+AW56+'Célf.'!AA15</f>
        <v>#REF!</v>
      </c>
      <c r="AX130" s="424" t="e">
        <f>AX54+AX55+AX56+'Célf.'!AB15</f>
        <v>#REF!</v>
      </c>
      <c r="AY130" s="424" t="e">
        <f>AY54+AY55+AY56+'Célf.'!AC15</f>
        <v>#REF!</v>
      </c>
      <c r="AZ130" s="424" t="e">
        <f>AZ54+AZ55+AZ56+'Célf.'!AD15</f>
        <v>#REF!</v>
      </c>
      <c r="BA130" s="424" t="e">
        <f>BA54+BA55+BA56+'Célf.'!AE15</f>
        <v>#REF!</v>
      </c>
      <c r="BB130" s="424" t="e">
        <f>BB54+BB55+BB56+'Célf.'!AF15</f>
        <v>#REF!</v>
      </c>
      <c r="BC130" s="424" t="e">
        <f>BC54+BC55+BC56+'Célf.'!AG15</f>
        <v>#REF!</v>
      </c>
      <c r="BD130" s="424" t="e">
        <f>BD54+BD55+BD56+'Célf.'!AH15</f>
        <v>#REF!</v>
      </c>
      <c r="BE130" s="424">
        <f>BE54+BE55+BE56+'Célf.'!AI15</f>
        <v>5777601</v>
      </c>
      <c r="BF130" s="424">
        <f>BF54+BF55+BF56+'Célf.'!AJ15</f>
        <v>3841476</v>
      </c>
      <c r="BG130" s="424">
        <f>BG54+BG55+BG56+'Célf.'!AK15</f>
        <v>60298</v>
      </c>
      <c r="BH130" s="424">
        <f>BH54+BH55+BH56+'Célf.'!AL15</f>
        <v>3901774</v>
      </c>
    </row>
    <row r="131" spans="1:213" ht="16.5" customHeight="1">
      <c r="A131" s="712" t="s">
        <v>92</v>
      </c>
      <c r="B131" s="713"/>
      <c r="C131" s="713"/>
      <c r="D131" s="713"/>
      <c r="E131" s="713"/>
      <c r="F131" s="713"/>
      <c r="G131" s="713"/>
      <c r="H131" s="713"/>
      <c r="I131" s="713"/>
      <c r="J131" s="713"/>
      <c r="K131" s="713"/>
      <c r="L131" s="713"/>
      <c r="M131" s="713"/>
      <c r="N131" s="713"/>
      <c r="O131" s="713"/>
      <c r="P131" s="713"/>
      <c r="Q131" s="713"/>
      <c r="R131" s="713"/>
      <c r="S131" s="713"/>
      <c r="T131" s="713"/>
      <c r="U131" s="713"/>
      <c r="V131" s="713"/>
      <c r="W131" s="713"/>
      <c r="X131" s="713"/>
      <c r="Y131" s="713"/>
      <c r="Z131" s="713"/>
      <c r="AA131" s="713"/>
      <c r="AB131" s="713"/>
      <c r="AC131" s="713"/>
      <c r="AD131" s="713"/>
      <c r="AE131" s="713"/>
      <c r="AF131" s="713"/>
      <c r="AG131" s="713"/>
      <c r="AH131" s="713"/>
      <c r="AI131" s="713"/>
      <c r="AJ131" s="713"/>
      <c r="AK131" s="713"/>
      <c r="AL131" s="713"/>
      <c r="AM131" s="713"/>
      <c r="AN131" s="713"/>
      <c r="AO131" s="713"/>
      <c r="AP131" s="713"/>
      <c r="AQ131" s="713"/>
      <c r="AR131" s="713"/>
      <c r="AS131" s="713"/>
      <c r="AT131" s="713"/>
      <c r="AU131" s="713"/>
      <c r="AV131" s="713"/>
      <c r="AW131" s="713"/>
      <c r="AX131" s="713"/>
      <c r="AY131" s="713"/>
      <c r="AZ131" s="713"/>
      <c r="BA131" s="713"/>
      <c r="BB131" s="713"/>
      <c r="BC131" s="713"/>
      <c r="BD131" s="713"/>
      <c r="BE131" s="713"/>
      <c r="BF131" s="713"/>
      <c r="BG131" s="713"/>
      <c r="BH131" s="714"/>
    </row>
    <row r="132" spans="1:213" ht="16.5">
      <c r="A132" s="10" t="s">
        <v>9</v>
      </c>
      <c r="B132" s="19"/>
      <c r="C132" s="19"/>
      <c r="D132" s="19">
        <v>8665</v>
      </c>
      <c r="E132" s="19">
        <f>SUM(C132:D132)</f>
        <v>8665</v>
      </c>
      <c r="F132" s="19"/>
      <c r="G132" s="19">
        <f>SUM(E132:F132)</f>
        <v>8665</v>
      </c>
      <c r="H132" s="19">
        <v>197</v>
      </c>
      <c r="I132" s="19">
        <f>SUM(G132:H132)</f>
        <v>8862</v>
      </c>
      <c r="J132" s="19"/>
      <c r="K132" s="19">
        <f>SUM(I132:J132)</f>
        <v>8862</v>
      </c>
      <c r="L132" s="19"/>
      <c r="M132" s="19">
        <f>SUM(K132:L132)</f>
        <v>8862</v>
      </c>
      <c r="N132" s="19"/>
      <c r="O132" s="19">
        <f>SUM(M132:N132)</f>
        <v>8862</v>
      </c>
      <c r="P132" s="19"/>
      <c r="Q132" s="19"/>
      <c r="R132" s="19"/>
      <c r="S132" s="19"/>
      <c r="T132" s="19"/>
      <c r="U132" s="19">
        <v>7644</v>
      </c>
      <c r="V132" s="19">
        <f>SUM(T132:U132)</f>
        <v>7644</v>
      </c>
      <c r="W132" s="19"/>
      <c r="X132" s="19">
        <f>SUM(V132:W132)</f>
        <v>7644</v>
      </c>
      <c r="Y132" s="19">
        <v>99</v>
      </c>
      <c r="Z132" s="19">
        <f>SUM(X132:Y132)</f>
        <v>7743</v>
      </c>
      <c r="AA132" s="19"/>
      <c r="AB132" s="19">
        <f>SUM(Z132:AA132)</f>
        <v>7743</v>
      </c>
      <c r="AC132" s="19">
        <v>8036</v>
      </c>
      <c r="AD132" s="19">
        <f>SUM(AB132:AC132)</f>
        <v>15779</v>
      </c>
      <c r="AE132" s="19"/>
      <c r="AF132" s="19">
        <f>SUM(AD132:AE132)</f>
        <v>15779</v>
      </c>
      <c r="AG132" s="19">
        <v>238</v>
      </c>
      <c r="AH132" s="19">
        <f>SUM(AF132:AG132)</f>
        <v>16017</v>
      </c>
      <c r="AI132" s="19"/>
      <c r="AJ132" s="19"/>
      <c r="AK132" s="19"/>
      <c r="AL132" s="184"/>
      <c r="AM132" s="18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  <c r="AZ132" s="18"/>
      <c r="BA132" s="18"/>
      <c r="BB132" s="18"/>
      <c r="BC132" s="18"/>
      <c r="BD132" s="18"/>
      <c r="BE132" s="18"/>
      <c r="BF132" s="18"/>
      <c r="BG132" s="18"/>
      <c r="BH132" s="18"/>
    </row>
    <row r="133" spans="1:213">
      <c r="A133" s="10" t="s">
        <v>59</v>
      </c>
      <c r="B133" s="19"/>
      <c r="C133" s="19">
        <f>SUM(B133:B133)</f>
        <v>0</v>
      </c>
      <c r="D133" s="19"/>
      <c r="E133" s="19">
        <f>SUM(C133:D133)</f>
        <v>0</v>
      </c>
      <c r="F133" s="19"/>
      <c r="G133" s="19">
        <f>SUM(E133:F133)</f>
        <v>0</v>
      </c>
      <c r="H133" s="19"/>
      <c r="I133" s="19">
        <f>SUM(G133:H133)</f>
        <v>0</v>
      </c>
      <c r="J133" s="19"/>
      <c r="K133" s="19">
        <f>SUM(I133:J133)</f>
        <v>0</v>
      </c>
      <c r="L133" s="19"/>
      <c r="M133" s="19">
        <f>SUM(K133:L133)</f>
        <v>0</v>
      </c>
      <c r="N133" s="19"/>
      <c r="O133" s="19">
        <f>SUM(M133:N133)</f>
        <v>0</v>
      </c>
      <c r="P133" s="19">
        <v>155726</v>
      </c>
      <c r="Q133" s="19"/>
      <c r="R133" s="19">
        <f>SUM(P133:Q133)</f>
        <v>155726</v>
      </c>
      <c r="S133" s="19"/>
      <c r="T133" s="19">
        <f>SUM(R133:S133)</f>
        <v>155726</v>
      </c>
      <c r="U133" s="19"/>
      <c r="V133" s="19">
        <f>SUM(T133:U133)</f>
        <v>155726</v>
      </c>
      <c r="W133" s="19"/>
      <c r="X133" s="19">
        <f>SUM(V133:W133)</f>
        <v>155726</v>
      </c>
      <c r="Y133" s="19"/>
      <c r="Z133" s="19">
        <f>SUM(X133:Y133)</f>
        <v>155726</v>
      </c>
      <c r="AA133" s="19"/>
      <c r="AB133" s="19">
        <f>SUM(Z133:AA133)</f>
        <v>155726</v>
      </c>
      <c r="AC133" s="19"/>
      <c r="AD133" s="19">
        <f>SUM(AB133:AC133)</f>
        <v>155726</v>
      </c>
      <c r="AE133" s="19"/>
      <c r="AF133" s="19">
        <f>SUM(AD133:AE133)</f>
        <v>155726</v>
      </c>
      <c r="AG133" s="19"/>
      <c r="AH133" s="19">
        <f>SUM(AF133:AG133)</f>
        <v>155726</v>
      </c>
      <c r="AI133" s="19">
        <v>164599</v>
      </c>
      <c r="AJ133" s="19"/>
      <c r="AK133" s="19">
        <f>SUM(AI133:AJ133)</f>
        <v>164599</v>
      </c>
      <c r="AL133" s="11" t="s">
        <v>10</v>
      </c>
      <c r="AM133" s="388">
        <v>531160</v>
      </c>
      <c r="AN133" s="388">
        <v>10663</v>
      </c>
      <c r="AO133" s="388">
        <f>SUM(AM133:AN133)</f>
        <v>541823</v>
      </c>
      <c r="AP133" s="388">
        <v>8488</v>
      </c>
      <c r="AQ133" s="388">
        <f>SUM(AO133:AP133)</f>
        <v>550311</v>
      </c>
      <c r="AR133" s="388">
        <v>5627</v>
      </c>
      <c r="AS133" s="388">
        <f>SUM(AQ133:AR133)</f>
        <v>555938</v>
      </c>
      <c r="AT133" s="388">
        <v>91</v>
      </c>
      <c r="AU133" s="388">
        <f>SUM(AS133:AT133)</f>
        <v>556029</v>
      </c>
      <c r="AV133" s="388">
        <v>182</v>
      </c>
      <c r="AW133" s="388">
        <f>SUM(AU133:AV133)</f>
        <v>556211</v>
      </c>
      <c r="AX133" s="388">
        <v>601</v>
      </c>
      <c r="AY133" s="388">
        <f>SUM(AW133:AX133)</f>
        <v>556812</v>
      </c>
      <c r="AZ133" s="388">
        <v>5704</v>
      </c>
      <c r="BA133" s="388">
        <f>SUM(AY133:AZ133)</f>
        <v>562516</v>
      </c>
      <c r="BB133" s="388">
        <v>-2423</v>
      </c>
      <c r="BC133" s="388">
        <f>SUM(BA133:BB133)</f>
        <v>560093</v>
      </c>
      <c r="BD133" s="388">
        <v>273</v>
      </c>
      <c r="BE133" s="388">
        <f>SUM(BC133:BD133)</f>
        <v>560366</v>
      </c>
      <c r="BF133" s="388">
        <v>551246</v>
      </c>
      <c r="BG133" s="18">
        <v>138</v>
      </c>
      <c r="BH133" s="388">
        <f>SUM(BF133:BG133)</f>
        <v>551384</v>
      </c>
    </row>
    <row r="134" spans="1:213">
      <c r="A134" s="10" t="s">
        <v>67</v>
      </c>
      <c r="B134" s="19"/>
      <c r="C134" s="19">
        <f>SUM(B134:B134)</f>
        <v>0</v>
      </c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0" t="s">
        <v>12</v>
      </c>
      <c r="AM134" s="388">
        <v>101896</v>
      </c>
      <c r="AN134" s="388">
        <v>2121</v>
      </c>
      <c r="AO134" s="388">
        <f t="shared" ref="AO134:AO135" si="149">SUM(AM134:AN134)</f>
        <v>104017</v>
      </c>
      <c r="AP134" s="388">
        <v>2277</v>
      </c>
      <c r="AQ134" s="388">
        <f t="shared" ref="AQ134:AQ139" si="150">SUM(AO134:AP134)</f>
        <v>106294</v>
      </c>
      <c r="AR134" s="388">
        <v>1160</v>
      </c>
      <c r="AS134" s="388">
        <f t="shared" ref="AS134:AS139" si="151">SUM(AQ134:AR134)</f>
        <v>107454</v>
      </c>
      <c r="AT134" s="388">
        <v>18</v>
      </c>
      <c r="AU134" s="388">
        <f t="shared" ref="AU134:AU139" si="152">SUM(AS134:AT134)</f>
        <v>107472</v>
      </c>
      <c r="AV134" s="388">
        <v>36</v>
      </c>
      <c r="AW134" s="388">
        <f t="shared" ref="AW134:AW139" si="153">SUM(AU134:AV134)</f>
        <v>107508</v>
      </c>
      <c r="AX134" s="388">
        <v>89</v>
      </c>
      <c r="AY134" s="388">
        <f t="shared" ref="AY134:AY139" si="154">SUM(AW134:AX134)</f>
        <v>107597</v>
      </c>
      <c r="AZ134" s="388">
        <v>1121</v>
      </c>
      <c r="BA134" s="388">
        <f t="shared" ref="BA134:BA139" si="155">SUM(AY134:AZ134)</f>
        <v>108718</v>
      </c>
      <c r="BB134" s="388">
        <v>2514</v>
      </c>
      <c r="BC134" s="388">
        <f t="shared" ref="BC134:BC139" si="156">SUM(BA134:BB134)</f>
        <v>111232</v>
      </c>
      <c r="BD134" s="388">
        <v>53</v>
      </c>
      <c r="BE134" s="388">
        <f t="shared" ref="BE134:BE140" si="157">SUM(BC134:BD134)</f>
        <v>111285</v>
      </c>
      <c r="BF134" s="388">
        <v>96946</v>
      </c>
      <c r="BG134" s="18">
        <v>24</v>
      </c>
      <c r="BH134" s="388">
        <f t="shared" ref="BH134:BH135" si="158">SUM(BF134:BG134)</f>
        <v>96970</v>
      </c>
    </row>
    <row r="135" spans="1:213">
      <c r="A135" s="10" t="s">
        <v>70</v>
      </c>
      <c r="B135" s="19"/>
      <c r="C135" s="19">
        <f>SUM(B135:B135)</f>
        <v>0</v>
      </c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4" t="s">
        <v>14</v>
      </c>
      <c r="AM135" s="388">
        <v>364699</v>
      </c>
      <c r="AN135" s="388">
        <v>-12470</v>
      </c>
      <c r="AO135" s="388">
        <f t="shared" si="149"/>
        <v>352229</v>
      </c>
      <c r="AP135" s="388">
        <v>77739</v>
      </c>
      <c r="AQ135" s="388">
        <f t="shared" si="150"/>
        <v>429968</v>
      </c>
      <c r="AR135" s="388">
        <v>966</v>
      </c>
      <c r="AS135" s="388">
        <f t="shared" si="151"/>
        <v>430934</v>
      </c>
      <c r="AT135" s="388"/>
      <c r="AU135" s="388">
        <f t="shared" si="152"/>
        <v>430934</v>
      </c>
      <c r="AV135" s="388">
        <v>99</v>
      </c>
      <c r="AW135" s="388">
        <f t="shared" si="153"/>
        <v>431033</v>
      </c>
      <c r="AX135" s="388"/>
      <c r="AY135" s="388">
        <f t="shared" si="154"/>
        <v>431033</v>
      </c>
      <c r="AZ135" s="388">
        <v>1311</v>
      </c>
      <c r="BA135" s="388">
        <f t="shared" si="155"/>
        <v>432344</v>
      </c>
      <c r="BB135" s="388"/>
      <c r="BC135" s="388">
        <f t="shared" si="156"/>
        <v>432344</v>
      </c>
      <c r="BD135" s="388"/>
      <c r="BE135" s="388">
        <f t="shared" si="157"/>
        <v>432344</v>
      </c>
      <c r="BF135" s="388">
        <v>406604</v>
      </c>
      <c r="BG135" s="18"/>
      <c r="BH135" s="388">
        <f t="shared" si="158"/>
        <v>406604</v>
      </c>
    </row>
    <row r="136" spans="1:213">
      <c r="A136" s="10" t="s">
        <v>72</v>
      </c>
      <c r="B136" s="19"/>
      <c r="C136" s="19">
        <f>SUM(B136:B136)</f>
        <v>0</v>
      </c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5" t="s">
        <v>16</v>
      </c>
      <c r="AM136" s="388"/>
      <c r="AN136" s="388"/>
      <c r="AO136" s="388"/>
      <c r="AP136" s="388"/>
      <c r="AQ136" s="388"/>
      <c r="AR136" s="388"/>
      <c r="AS136" s="388"/>
      <c r="AT136" s="388"/>
      <c r="AU136" s="388"/>
      <c r="AV136" s="388"/>
      <c r="AW136" s="388"/>
      <c r="AX136" s="388"/>
      <c r="AY136" s="388"/>
      <c r="AZ136" s="388"/>
      <c r="BA136" s="388"/>
      <c r="BB136" s="388"/>
      <c r="BC136" s="388"/>
      <c r="BD136" s="388"/>
      <c r="BE136" s="388">
        <f t="shared" si="157"/>
        <v>0</v>
      </c>
      <c r="BF136" s="388"/>
      <c r="BG136" s="18"/>
      <c r="BH136" s="388"/>
    </row>
    <row r="137" spans="1:213">
      <c r="A137" s="10" t="s">
        <v>79</v>
      </c>
      <c r="B137" s="13">
        <f t="shared" ref="B137:AK137" si="159">B138+B139</f>
        <v>780</v>
      </c>
      <c r="C137" s="13">
        <f t="shared" si="159"/>
        <v>780</v>
      </c>
      <c r="D137" s="13">
        <f t="shared" si="159"/>
        <v>108145</v>
      </c>
      <c r="E137" s="13">
        <f t="shared" si="159"/>
        <v>108925</v>
      </c>
      <c r="F137" s="13">
        <f t="shared" si="159"/>
        <v>215</v>
      </c>
      <c r="G137" s="13">
        <f t="shared" si="159"/>
        <v>109140</v>
      </c>
      <c r="H137" s="13">
        <f t="shared" si="159"/>
        <v>153</v>
      </c>
      <c r="I137" s="13">
        <f t="shared" si="159"/>
        <v>109293</v>
      </c>
      <c r="J137" s="13">
        <f t="shared" si="159"/>
        <v>304</v>
      </c>
      <c r="K137" s="13">
        <f t="shared" si="159"/>
        <v>109597</v>
      </c>
      <c r="L137" s="13">
        <f t="shared" si="159"/>
        <v>4015</v>
      </c>
      <c r="M137" s="13">
        <f t="shared" si="159"/>
        <v>113612</v>
      </c>
      <c r="N137" s="13">
        <f t="shared" si="159"/>
        <v>252</v>
      </c>
      <c r="O137" s="13">
        <f t="shared" si="159"/>
        <v>959608</v>
      </c>
      <c r="P137" s="13">
        <f t="shared" si="159"/>
        <v>846420</v>
      </c>
      <c r="Q137" s="13">
        <f t="shared" si="159"/>
        <v>314</v>
      </c>
      <c r="R137" s="13">
        <f t="shared" si="159"/>
        <v>846734</v>
      </c>
      <c r="S137" s="13">
        <f t="shared" si="159"/>
        <v>200833</v>
      </c>
      <c r="T137" s="13">
        <f t="shared" si="159"/>
        <v>1047567</v>
      </c>
      <c r="U137" s="13">
        <f t="shared" si="159"/>
        <v>109</v>
      </c>
      <c r="V137" s="13">
        <f t="shared" si="159"/>
        <v>1047676</v>
      </c>
      <c r="W137" s="13">
        <f t="shared" si="159"/>
        <v>109</v>
      </c>
      <c r="X137" s="13">
        <f t="shared" si="159"/>
        <v>1047785</v>
      </c>
      <c r="Y137" s="13">
        <f t="shared" si="159"/>
        <v>218</v>
      </c>
      <c r="Z137" s="13">
        <f t="shared" si="159"/>
        <v>1048003</v>
      </c>
      <c r="AA137" s="13">
        <f t="shared" si="159"/>
        <v>15690</v>
      </c>
      <c r="AB137" s="13">
        <f t="shared" si="159"/>
        <v>1063693</v>
      </c>
      <c r="AC137" s="13">
        <f t="shared" si="159"/>
        <v>100</v>
      </c>
      <c r="AD137" s="13">
        <f t="shared" si="159"/>
        <v>1063793</v>
      </c>
      <c r="AE137" s="13">
        <f t="shared" si="159"/>
        <v>191</v>
      </c>
      <c r="AF137" s="13">
        <f t="shared" si="159"/>
        <v>1063984</v>
      </c>
      <c r="AG137" s="13">
        <f t="shared" si="159"/>
        <v>88</v>
      </c>
      <c r="AH137" s="13">
        <f t="shared" si="159"/>
        <v>1064072</v>
      </c>
      <c r="AI137" s="13">
        <f t="shared" si="159"/>
        <v>894588</v>
      </c>
      <c r="AJ137" s="13">
        <f t="shared" si="159"/>
        <v>162</v>
      </c>
      <c r="AK137" s="13">
        <f t="shared" si="159"/>
        <v>894750</v>
      </c>
      <c r="AL137" s="14" t="s">
        <v>18</v>
      </c>
      <c r="AM137" s="388"/>
      <c r="AN137" s="388"/>
      <c r="AO137" s="388"/>
      <c r="AP137" s="388">
        <v>10000</v>
      </c>
      <c r="AQ137" s="388">
        <f t="shared" si="150"/>
        <v>10000</v>
      </c>
      <c r="AR137" s="388"/>
      <c r="AS137" s="388">
        <f t="shared" si="151"/>
        <v>10000</v>
      </c>
      <c r="AT137" s="388"/>
      <c r="AU137" s="388">
        <f t="shared" si="152"/>
        <v>10000</v>
      </c>
      <c r="AV137" s="388"/>
      <c r="AW137" s="388">
        <f t="shared" si="153"/>
        <v>10000</v>
      </c>
      <c r="AX137" s="388"/>
      <c r="AY137" s="388">
        <f t="shared" si="154"/>
        <v>10000</v>
      </c>
      <c r="AZ137" s="388"/>
      <c r="BA137" s="388">
        <f t="shared" si="155"/>
        <v>10000</v>
      </c>
      <c r="BB137" s="388"/>
      <c r="BC137" s="388">
        <f t="shared" si="156"/>
        <v>10000</v>
      </c>
      <c r="BD137" s="388"/>
      <c r="BE137" s="388">
        <f t="shared" si="157"/>
        <v>10000</v>
      </c>
      <c r="BF137" s="388"/>
      <c r="BG137" s="18"/>
      <c r="BH137" s="388"/>
    </row>
    <row r="138" spans="1:213">
      <c r="A138" s="12" t="s">
        <v>93</v>
      </c>
      <c r="B138" s="19"/>
      <c r="C138" s="19">
        <f>SUM(B138:B138)</f>
        <v>0</v>
      </c>
      <c r="D138" s="19">
        <v>108145</v>
      </c>
      <c r="E138" s="19">
        <f>SUM(C138:D138)</f>
        <v>108145</v>
      </c>
      <c r="F138" s="19"/>
      <c r="G138" s="19">
        <f>SUM(E138:F138)</f>
        <v>108145</v>
      </c>
      <c r="H138" s="19"/>
      <c r="I138" s="19">
        <f>SUM(G138:H138)</f>
        <v>108145</v>
      </c>
      <c r="J138" s="19"/>
      <c r="K138" s="19">
        <f>SUM(I138:J138)</f>
        <v>108145</v>
      </c>
      <c r="L138" s="19"/>
      <c r="M138" s="19">
        <f>SUM(K138:L138)</f>
        <v>108145</v>
      </c>
      <c r="N138" s="19"/>
      <c r="O138" s="19">
        <f>SUM(M138:N138)</f>
        <v>108145</v>
      </c>
      <c r="P138" s="19"/>
      <c r="Q138" s="19"/>
      <c r="R138" s="19">
        <v>0</v>
      </c>
      <c r="S138" s="19">
        <v>200689</v>
      </c>
      <c r="T138" s="19">
        <f>SUM(R138:S138)</f>
        <v>200689</v>
      </c>
      <c r="U138" s="19"/>
      <c r="V138" s="19">
        <f>SUM(T138:U138)</f>
        <v>200689</v>
      </c>
      <c r="W138" s="19"/>
      <c r="X138" s="19">
        <f>SUM(V138:W138)</f>
        <v>200689</v>
      </c>
      <c r="Y138" s="19"/>
      <c r="Z138" s="19">
        <f>SUM(X138:Y138)</f>
        <v>200689</v>
      </c>
      <c r="AA138" s="19"/>
      <c r="AB138" s="19">
        <f>SUM(Z138:AA138)</f>
        <v>200689</v>
      </c>
      <c r="AC138" s="19"/>
      <c r="AD138" s="19">
        <f>SUM(AB138:AC138)</f>
        <v>200689</v>
      </c>
      <c r="AE138" s="19"/>
      <c r="AF138" s="19">
        <f>SUM(AD138:AE138)</f>
        <v>200689</v>
      </c>
      <c r="AG138" s="19"/>
      <c r="AH138" s="19">
        <f>SUM(AF138:AG138)</f>
        <v>200689</v>
      </c>
      <c r="AI138" s="19"/>
      <c r="AJ138" s="19"/>
      <c r="AK138" s="19"/>
      <c r="AL138" s="10" t="s">
        <v>94</v>
      </c>
      <c r="AM138" s="388">
        <v>4391</v>
      </c>
      <c r="AN138" s="388"/>
      <c r="AO138" s="388">
        <f>SUM(AM138:AN138)</f>
        <v>4391</v>
      </c>
      <c r="AP138" s="388">
        <v>88308</v>
      </c>
      <c r="AQ138" s="388">
        <f t="shared" si="150"/>
        <v>92699</v>
      </c>
      <c r="AR138" s="388"/>
      <c r="AS138" s="388">
        <f t="shared" si="151"/>
        <v>92699</v>
      </c>
      <c r="AT138" s="388"/>
      <c r="AU138" s="388">
        <f t="shared" si="152"/>
        <v>92699</v>
      </c>
      <c r="AV138" s="388"/>
      <c r="AW138" s="388">
        <f t="shared" si="153"/>
        <v>92699</v>
      </c>
      <c r="AX138" s="388">
        <v>15000</v>
      </c>
      <c r="AY138" s="388">
        <f t="shared" si="154"/>
        <v>107699</v>
      </c>
      <c r="AZ138" s="388"/>
      <c r="BA138" s="388">
        <f t="shared" si="155"/>
        <v>107699</v>
      </c>
      <c r="BB138" s="388">
        <v>100</v>
      </c>
      <c r="BC138" s="388">
        <f t="shared" si="156"/>
        <v>107799</v>
      </c>
      <c r="BD138" s="388"/>
      <c r="BE138" s="388">
        <f t="shared" si="157"/>
        <v>107799</v>
      </c>
      <c r="BF138" s="388">
        <v>4391</v>
      </c>
      <c r="BG138" s="18"/>
      <c r="BH138" s="388">
        <f>SUM(BF138:BG138)</f>
        <v>4391</v>
      </c>
    </row>
    <row r="139" spans="1:213">
      <c r="A139" s="25" t="s">
        <v>95</v>
      </c>
      <c r="B139" s="19">
        <v>780</v>
      </c>
      <c r="C139" s="19">
        <f>SUM(B139:B139)</f>
        <v>780</v>
      </c>
      <c r="D139" s="19"/>
      <c r="E139" s="19">
        <f>SUM(C139:D139)</f>
        <v>780</v>
      </c>
      <c r="F139" s="19">
        <v>215</v>
      </c>
      <c r="G139" s="19">
        <f>SUM(E139:F139)</f>
        <v>995</v>
      </c>
      <c r="H139" s="19">
        <v>153</v>
      </c>
      <c r="I139" s="19">
        <f>SUM(G139:H139)</f>
        <v>1148</v>
      </c>
      <c r="J139" s="19">
        <v>304</v>
      </c>
      <c r="K139" s="19">
        <f>SUM(I139:J139)</f>
        <v>1452</v>
      </c>
      <c r="L139" s="19">
        <v>4015</v>
      </c>
      <c r="M139" s="19">
        <f>SUM(K139:L139)</f>
        <v>5467</v>
      </c>
      <c r="N139" s="19">
        <v>252</v>
      </c>
      <c r="O139" s="19">
        <v>851463</v>
      </c>
      <c r="P139" s="19">
        <v>846420</v>
      </c>
      <c r="Q139" s="19">
        <v>314</v>
      </c>
      <c r="R139" s="19">
        <f>SUM(P139:Q139)</f>
        <v>846734</v>
      </c>
      <c r="S139" s="19">
        <v>144</v>
      </c>
      <c r="T139" s="19">
        <f>SUM(R139:S139)</f>
        <v>846878</v>
      </c>
      <c r="U139" s="19">
        <v>109</v>
      </c>
      <c r="V139" s="19">
        <f>SUM(T139:U139)</f>
        <v>846987</v>
      </c>
      <c r="W139" s="19">
        <v>109</v>
      </c>
      <c r="X139" s="19">
        <f>SUM(V139:W139)</f>
        <v>847096</v>
      </c>
      <c r="Y139" s="19">
        <v>218</v>
      </c>
      <c r="Z139" s="19">
        <f>SUM(X139:Y139)</f>
        <v>847314</v>
      </c>
      <c r="AA139" s="19">
        <v>15690</v>
      </c>
      <c r="AB139" s="19">
        <f>SUM(Z139:AA139)</f>
        <v>863004</v>
      </c>
      <c r="AC139" s="19">
        <v>100</v>
      </c>
      <c r="AD139" s="19">
        <f>SUM(AB139:AC139)</f>
        <v>863104</v>
      </c>
      <c r="AE139" s="19">
        <v>191</v>
      </c>
      <c r="AF139" s="19">
        <f>SUM(AD139:AE139)</f>
        <v>863295</v>
      </c>
      <c r="AG139" s="19">
        <v>88</v>
      </c>
      <c r="AH139" s="19">
        <f>SUM(AF139:AG139)</f>
        <v>863383</v>
      </c>
      <c r="AI139" s="19">
        <f>1095462-128874-72000</f>
        <v>894588</v>
      </c>
      <c r="AJ139" s="19">
        <v>162</v>
      </c>
      <c r="AK139" s="19">
        <f>SUM(AI139:AJ139)</f>
        <v>894750</v>
      </c>
      <c r="AL139" s="10" t="s">
        <v>39</v>
      </c>
      <c r="AM139" s="388"/>
      <c r="AN139" s="388"/>
      <c r="AO139" s="388"/>
      <c r="AP139" s="388">
        <v>14021</v>
      </c>
      <c r="AQ139" s="388">
        <f t="shared" si="150"/>
        <v>14021</v>
      </c>
      <c r="AR139" s="388"/>
      <c r="AS139" s="388">
        <f t="shared" si="151"/>
        <v>14021</v>
      </c>
      <c r="AT139" s="388"/>
      <c r="AU139" s="388">
        <f t="shared" si="152"/>
        <v>14021</v>
      </c>
      <c r="AV139" s="388"/>
      <c r="AW139" s="388">
        <f t="shared" si="153"/>
        <v>14021</v>
      </c>
      <c r="AX139" s="388"/>
      <c r="AY139" s="388">
        <f t="shared" si="154"/>
        <v>14021</v>
      </c>
      <c r="AZ139" s="388"/>
      <c r="BA139" s="388">
        <f t="shared" si="155"/>
        <v>14021</v>
      </c>
      <c r="BB139" s="388"/>
      <c r="BC139" s="388">
        <f t="shared" si="156"/>
        <v>14021</v>
      </c>
      <c r="BD139" s="388"/>
      <c r="BE139" s="388">
        <f t="shared" si="157"/>
        <v>14021</v>
      </c>
      <c r="BF139" s="388"/>
      <c r="BG139" s="18"/>
      <c r="BH139" s="18"/>
    </row>
    <row r="140" spans="1:213">
      <c r="A140" s="10"/>
      <c r="B140" s="19"/>
      <c r="C140" s="19">
        <f>SUM(B140:B140)</f>
        <v>0</v>
      </c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0" t="s">
        <v>40</v>
      </c>
      <c r="AM140" s="388"/>
      <c r="AN140" s="388"/>
      <c r="AO140" s="388"/>
      <c r="AP140" s="388"/>
      <c r="AQ140" s="388"/>
      <c r="AR140" s="388"/>
      <c r="AS140" s="388"/>
      <c r="AT140" s="388"/>
      <c r="AU140" s="388"/>
      <c r="AV140" s="388"/>
      <c r="AW140" s="388"/>
      <c r="AX140" s="388"/>
      <c r="AY140" s="388"/>
      <c r="AZ140" s="388"/>
      <c r="BA140" s="388"/>
      <c r="BB140" s="388"/>
      <c r="BC140" s="388"/>
      <c r="BD140" s="388"/>
      <c r="BE140" s="388">
        <f t="shared" si="157"/>
        <v>0</v>
      </c>
      <c r="BF140" s="388"/>
      <c r="BG140" s="18"/>
      <c r="BH140" s="18"/>
    </row>
    <row r="141" spans="1:213" s="33" customFormat="1" ht="15.75">
      <c r="A141" s="32" t="s">
        <v>96</v>
      </c>
      <c r="B141" s="355">
        <f t="shared" ref="B141:O141" si="160">B133+B134+B135+B136+B137+B132</f>
        <v>780</v>
      </c>
      <c r="C141" s="355">
        <f t="shared" si="160"/>
        <v>780</v>
      </c>
      <c r="D141" s="355">
        <f t="shared" si="160"/>
        <v>116810</v>
      </c>
      <c r="E141" s="355">
        <f t="shared" si="160"/>
        <v>117590</v>
      </c>
      <c r="F141" s="355">
        <f t="shared" si="160"/>
        <v>215</v>
      </c>
      <c r="G141" s="355">
        <f t="shared" si="160"/>
        <v>117805</v>
      </c>
      <c r="H141" s="355">
        <f t="shared" si="160"/>
        <v>350</v>
      </c>
      <c r="I141" s="355">
        <f t="shared" si="160"/>
        <v>118155</v>
      </c>
      <c r="J141" s="355">
        <f t="shared" si="160"/>
        <v>304</v>
      </c>
      <c r="K141" s="355">
        <f t="shared" si="160"/>
        <v>118459</v>
      </c>
      <c r="L141" s="355">
        <f t="shared" si="160"/>
        <v>4015</v>
      </c>
      <c r="M141" s="355">
        <f t="shared" si="160"/>
        <v>122474</v>
      </c>
      <c r="N141" s="355">
        <f t="shared" si="160"/>
        <v>252</v>
      </c>
      <c r="O141" s="355">
        <f t="shared" si="160"/>
        <v>968470</v>
      </c>
      <c r="P141" s="355">
        <f>P133+P134+P135+P136+P137+P132</f>
        <v>1002146</v>
      </c>
      <c r="Q141" s="355">
        <f t="shared" ref="Q141" si="161">Q133+Q134+Q135+Q136+Q137+Q132</f>
        <v>314</v>
      </c>
      <c r="R141" s="355">
        <f>R133+R134+R135+R136+R137+R132</f>
        <v>1002460</v>
      </c>
      <c r="S141" s="355">
        <f t="shared" ref="S141:V141" si="162">S133+S134+S135+S136+S137+S132</f>
        <v>200833</v>
      </c>
      <c r="T141" s="355">
        <f t="shared" si="162"/>
        <v>1203293</v>
      </c>
      <c r="U141" s="355">
        <f t="shared" si="162"/>
        <v>7753</v>
      </c>
      <c r="V141" s="355">
        <f t="shared" si="162"/>
        <v>1211046</v>
      </c>
      <c r="W141" s="355">
        <f t="shared" ref="W141:AA141" si="163">W133+W134+W135+W136+W137+W132</f>
        <v>109</v>
      </c>
      <c r="X141" s="355">
        <f t="shared" si="163"/>
        <v>1211155</v>
      </c>
      <c r="Y141" s="355">
        <f t="shared" si="163"/>
        <v>317</v>
      </c>
      <c r="Z141" s="355">
        <f t="shared" si="163"/>
        <v>1211472</v>
      </c>
      <c r="AA141" s="355">
        <f t="shared" si="163"/>
        <v>15690</v>
      </c>
      <c r="AB141" s="355">
        <f>AB133+AB134+AB135+AB136+AB137+AB132</f>
        <v>1227162</v>
      </c>
      <c r="AC141" s="355">
        <f>AC133+AC134+AC135+AC136+AC137+AC132</f>
        <v>8136</v>
      </c>
      <c r="AD141" s="355">
        <f>AD133+AD134+AD135+AD136+AD137+AD132</f>
        <v>1235298</v>
      </c>
      <c r="AE141" s="355">
        <f>AE133+AE134+AE135+AE136+AE137+AE132</f>
        <v>191</v>
      </c>
      <c r="AF141" s="355">
        <f>AF133+AF134+AF135+AF136+AF137+AF132</f>
        <v>1235489</v>
      </c>
      <c r="AG141" s="355">
        <f t="shared" ref="AG141:AH141" si="164">AG133+AG134+AG135+AG136+AG137+AG132</f>
        <v>326</v>
      </c>
      <c r="AH141" s="355">
        <f t="shared" si="164"/>
        <v>1235815</v>
      </c>
      <c r="AI141" s="355">
        <f t="shared" ref="AI141" si="165">AI133+AI134+AI135+AI136+AI137+AI132</f>
        <v>1059187</v>
      </c>
      <c r="AJ141" s="355">
        <f t="shared" ref="AJ141" si="166">AJ133+AJ134+AJ135+AJ136+AJ137+AJ132</f>
        <v>162</v>
      </c>
      <c r="AK141" s="355">
        <f t="shared" ref="AK141" si="167">AK133+AK134+AK135+AK136+AK137+AK132</f>
        <v>1059349</v>
      </c>
      <c r="AL141" s="32" t="s">
        <v>97</v>
      </c>
      <c r="AM141" s="425">
        <f t="shared" ref="AM141" si="168">SUM(AM133:AM140)</f>
        <v>1002146</v>
      </c>
      <c r="AN141" s="425">
        <f t="shared" ref="AN141:AO141" si="169">SUM(AN133:AN140)</f>
        <v>314</v>
      </c>
      <c r="AO141" s="425">
        <f t="shared" si="169"/>
        <v>1002460</v>
      </c>
      <c r="AP141" s="425">
        <f t="shared" ref="AP141:BE141" si="170">SUM(AP133:AP140)</f>
        <v>200833</v>
      </c>
      <c r="AQ141" s="425">
        <f t="shared" si="170"/>
        <v>1203293</v>
      </c>
      <c r="AR141" s="425">
        <f t="shared" si="170"/>
        <v>7753</v>
      </c>
      <c r="AS141" s="425">
        <f t="shared" si="170"/>
        <v>1211046</v>
      </c>
      <c r="AT141" s="425">
        <f t="shared" si="170"/>
        <v>109</v>
      </c>
      <c r="AU141" s="425">
        <f t="shared" si="170"/>
        <v>1211155</v>
      </c>
      <c r="AV141" s="425">
        <f t="shared" si="170"/>
        <v>317</v>
      </c>
      <c r="AW141" s="425">
        <f t="shared" si="170"/>
        <v>1211472</v>
      </c>
      <c r="AX141" s="425">
        <f t="shared" si="170"/>
        <v>15690</v>
      </c>
      <c r="AY141" s="425">
        <f t="shared" si="170"/>
        <v>1227162</v>
      </c>
      <c r="AZ141" s="425">
        <f t="shared" si="170"/>
        <v>8136</v>
      </c>
      <c r="BA141" s="425">
        <f t="shared" si="170"/>
        <v>1235298</v>
      </c>
      <c r="BB141" s="425">
        <f t="shared" si="170"/>
        <v>191</v>
      </c>
      <c r="BC141" s="425">
        <f t="shared" si="170"/>
        <v>1235489</v>
      </c>
      <c r="BD141" s="425">
        <f t="shared" si="170"/>
        <v>326</v>
      </c>
      <c r="BE141" s="425">
        <f t="shared" si="170"/>
        <v>1235815</v>
      </c>
      <c r="BF141" s="425">
        <f t="shared" ref="BF141:BH141" si="171">SUM(BF133:BF140)</f>
        <v>1059187</v>
      </c>
      <c r="BG141" s="425">
        <f t="shared" si="171"/>
        <v>162</v>
      </c>
      <c r="BH141" s="425">
        <f t="shared" si="171"/>
        <v>1059349</v>
      </c>
    </row>
    <row r="142" spans="1:213" s="36" customFormat="1" ht="15.75">
      <c r="A142" s="34" t="s">
        <v>88</v>
      </c>
      <c r="B142" s="35">
        <f>B133+B137</f>
        <v>780</v>
      </c>
      <c r="C142" s="35">
        <f>C133+C137</f>
        <v>780</v>
      </c>
      <c r="D142" s="35">
        <f>D133+D137+D132</f>
        <v>116810</v>
      </c>
      <c r="E142" s="35">
        <f>E133+E137+E132</f>
        <v>117590</v>
      </c>
      <c r="F142" s="35">
        <f t="shared" ref="F142:O142" si="172">F133+F137+F132</f>
        <v>215</v>
      </c>
      <c r="G142" s="35">
        <f t="shared" si="172"/>
        <v>117805</v>
      </c>
      <c r="H142" s="35">
        <f t="shared" si="172"/>
        <v>350</v>
      </c>
      <c r="I142" s="35">
        <f t="shared" si="172"/>
        <v>118155</v>
      </c>
      <c r="J142" s="35">
        <f t="shared" si="172"/>
        <v>304</v>
      </c>
      <c r="K142" s="35">
        <f t="shared" si="172"/>
        <v>118459</v>
      </c>
      <c r="L142" s="35">
        <f t="shared" si="172"/>
        <v>4015</v>
      </c>
      <c r="M142" s="35">
        <f t="shared" si="172"/>
        <v>122474</v>
      </c>
      <c r="N142" s="35">
        <f t="shared" si="172"/>
        <v>252</v>
      </c>
      <c r="O142" s="35">
        <f t="shared" si="172"/>
        <v>968470</v>
      </c>
      <c r="P142" s="35">
        <f>P133+P137+P132</f>
        <v>1002146</v>
      </c>
      <c r="Q142" s="35">
        <f t="shared" ref="Q142:R142" si="173">Q133+Q137+Q132</f>
        <v>314</v>
      </c>
      <c r="R142" s="35">
        <f t="shared" si="173"/>
        <v>1002460</v>
      </c>
      <c r="S142" s="35">
        <f t="shared" ref="S142:V142" si="174">S133+S137+S132</f>
        <v>200833</v>
      </c>
      <c r="T142" s="35">
        <f t="shared" si="174"/>
        <v>1203293</v>
      </c>
      <c r="U142" s="35">
        <f t="shared" si="174"/>
        <v>7753</v>
      </c>
      <c r="V142" s="35">
        <f t="shared" si="174"/>
        <v>1211046</v>
      </c>
      <c r="W142" s="35">
        <f t="shared" ref="W142:AB142" si="175">W133+W137+W132</f>
        <v>109</v>
      </c>
      <c r="X142" s="35">
        <f t="shared" si="175"/>
        <v>1211155</v>
      </c>
      <c r="Y142" s="35">
        <f t="shared" si="175"/>
        <v>317</v>
      </c>
      <c r="Z142" s="35">
        <f t="shared" si="175"/>
        <v>1211472</v>
      </c>
      <c r="AA142" s="35">
        <f t="shared" si="175"/>
        <v>15690</v>
      </c>
      <c r="AB142" s="35">
        <f t="shared" si="175"/>
        <v>1227162</v>
      </c>
      <c r="AC142" s="35">
        <f t="shared" ref="AC142:AD142" si="176">AC133+AC137+AC132</f>
        <v>8136</v>
      </c>
      <c r="AD142" s="35">
        <f t="shared" si="176"/>
        <v>1235298</v>
      </c>
      <c r="AE142" s="35">
        <f t="shared" ref="AE142:AF142" si="177">AE133+AE137+AE132</f>
        <v>191</v>
      </c>
      <c r="AF142" s="35">
        <f t="shared" si="177"/>
        <v>1235489</v>
      </c>
      <c r="AG142" s="35">
        <f t="shared" ref="AG142:AH142" si="178">AG133+AG137+AG132</f>
        <v>326</v>
      </c>
      <c r="AH142" s="35">
        <f t="shared" si="178"/>
        <v>1235815</v>
      </c>
      <c r="AI142" s="35">
        <f t="shared" ref="AI142" si="179">AI133+AI137+AI132</f>
        <v>1059187</v>
      </c>
      <c r="AJ142" s="35">
        <f t="shared" ref="AJ142" si="180">AJ133+AJ137+AJ132</f>
        <v>162</v>
      </c>
      <c r="AK142" s="35">
        <f t="shared" ref="AK142" si="181">AK133+AK137+AK132</f>
        <v>1059349</v>
      </c>
      <c r="AL142" s="34" t="s">
        <v>89</v>
      </c>
      <c r="AM142" s="426">
        <f t="shared" ref="AM142" si="182">AM133+AM134+AM135+AM137</f>
        <v>997755</v>
      </c>
      <c r="AN142" s="426">
        <f t="shared" ref="AN142:AO142" si="183">AN133+AN134+AN135+AN137</f>
        <v>314</v>
      </c>
      <c r="AO142" s="426">
        <f t="shared" si="183"/>
        <v>998069</v>
      </c>
      <c r="AP142" s="426">
        <f t="shared" ref="AP142:BA142" si="184">AP133+AP134+AP135+AP137</f>
        <v>98504</v>
      </c>
      <c r="AQ142" s="426">
        <f t="shared" si="184"/>
        <v>1096573</v>
      </c>
      <c r="AR142" s="426">
        <f t="shared" si="184"/>
        <v>7753</v>
      </c>
      <c r="AS142" s="426">
        <f t="shared" si="184"/>
        <v>1104326</v>
      </c>
      <c r="AT142" s="426">
        <f t="shared" si="184"/>
        <v>109</v>
      </c>
      <c r="AU142" s="426">
        <f t="shared" si="184"/>
        <v>1104435</v>
      </c>
      <c r="AV142" s="426">
        <f t="shared" si="184"/>
        <v>317</v>
      </c>
      <c r="AW142" s="426">
        <f t="shared" si="184"/>
        <v>1104752</v>
      </c>
      <c r="AX142" s="426">
        <f t="shared" si="184"/>
        <v>690</v>
      </c>
      <c r="AY142" s="426">
        <f t="shared" si="184"/>
        <v>1105442</v>
      </c>
      <c r="AZ142" s="426">
        <f t="shared" si="184"/>
        <v>8136</v>
      </c>
      <c r="BA142" s="426">
        <f t="shared" si="184"/>
        <v>1113578</v>
      </c>
      <c r="BB142" s="426">
        <f t="shared" ref="BB142" si="185">BB133+BB134+BB135+BB137</f>
        <v>91</v>
      </c>
      <c r="BC142" s="426">
        <f t="shared" ref="BC142:BE142" si="186">BC133+BC134+BC135+BC137</f>
        <v>1113669</v>
      </c>
      <c r="BD142" s="426">
        <f t="shared" si="186"/>
        <v>326</v>
      </c>
      <c r="BE142" s="426">
        <f t="shared" si="186"/>
        <v>1113995</v>
      </c>
      <c r="BF142" s="426">
        <f t="shared" ref="BF142:BH142" si="187">BF133+BF134+BF135+BF137</f>
        <v>1054796</v>
      </c>
      <c r="BG142" s="426">
        <f t="shared" si="187"/>
        <v>162</v>
      </c>
      <c r="BH142" s="426">
        <f t="shared" si="187"/>
        <v>1054958</v>
      </c>
      <c r="BY142" s="36">
        <f t="shared" ref="BY142:EJ143" si="188">BY155</f>
        <v>0</v>
      </c>
      <c r="BZ142" s="36">
        <f t="shared" si="188"/>
        <v>0</v>
      </c>
      <c r="CA142" s="36">
        <f t="shared" si="188"/>
        <v>0</v>
      </c>
      <c r="CB142" s="36">
        <f t="shared" si="188"/>
        <v>0</v>
      </c>
      <c r="CC142" s="36">
        <f t="shared" si="188"/>
        <v>0</v>
      </c>
      <c r="CD142" s="36">
        <f t="shared" si="188"/>
        <v>0</v>
      </c>
      <c r="CE142" s="36">
        <f t="shared" si="188"/>
        <v>0</v>
      </c>
      <c r="CF142" s="36">
        <f t="shared" si="188"/>
        <v>0</v>
      </c>
      <c r="CG142" s="36">
        <f t="shared" si="188"/>
        <v>0</v>
      </c>
      <c r="CH142" s="36">
        <f t="shared" si="188"/>
        <v>0</v>
      </c>
      <c r="CI142" s="36">
        <f t="shared" si="188"/>
        <v>0</v>
      </c>
      <c r="CJ142" s="36">
        <f t="shared" si="188"/>
        <v>0</v>
      </c>
      <c r="CK142" s="36">
        <f t="shared" si="188"/>
        <v>0</v>
      </c>
      <c r="CL142" s="36">
        <f t="shared" si="188"/>
        <v>0</v>
      </c>
      <c r="CM142" s="36">
        <f t="shared" si="188"/>
        <v>0</v>
      </c>
      <c r="CN142" s="36">
        <f t="shared" si="188"/>
        <v>0</v>
      </c>
      <c r="CO142" s="36">
        <f t="shared" si="188"/>
        <v>0</v>
      </c>
      <c r="CP142" s="36">
        <f t="shared" si="188"/>
        <v>0</v>
      </c>
      <c r="CQ142" s="36">
        <f t="shared" si="188"/>
        <v>0</v>
      </c>
      <c r="CR142" s="36">
        <f t="shared" si="188"/>
        <v>0</v>
      </c>
      <c r="CS142" s="36">
        <f t="shared" si="188"/>
        <v>0</v>
      </c>
      <c r="CT142" s="36">
        <f t="shared" si="188"/>
        <v>0</v>
      </c>
      <c r="CU142" s="36">
        <f t="shared" si="188"/>
        <v>0</v>
      </c>
      <c r="CV142" s="36">
        <f t="shared" si="188"/>
        <v>0</v>
      </c>
      <c r="CW142" s="36">
        <f t="shared" si="188"/>
        <v>0</v>
      </c>
      <c r="CX142" s="36">
        <f t="shared" si="188"/>
        <v>0</v>
      </c>
      <c r="CY142" s="36">
        <f t="shared" si="188"/>
        <v>0</v>
      </c>
      <c r="CZ142" s="36">
        <f t="shared" si="188"/>
        <v>0</v>
      </c>
      <c r="DA142" s="36">
        <f t="shared" si="188"/>
        <v>0</v>
      </c>
      <c r="DB142" s="36">
        <f t="shared" si="188"/>
        <v>0</v>
      </c>
      <c r="DC142" s="36">
        <f t="shared" si="188"/>
        <v>0</v>
      </c>
      <c r="DD142" s="36">
        <f t="shared" si="188"/>
        <v>0</v>
      </c>
      <c r="DE142" s="36">
        <f t="shared" si="188"/>
        <v>0</v>
      </c>
      <c r="DF142" s="36">
        <f t="shared" si="188"/>
        <v>0</v>
      </c>
      <c r="DG142" s="36">
        <f t="shared" si="188"/>
        <v>0</v>
      </c>
      <c r="DH142" s="36">
        <f t="shared" si="188"/>
        <v>0</v>
      </c>
      <c r="DI142" s="36">
        <f t="shared" si="188"/>
        <v>0</v>
      </c>
      <c r="DJ142" s="36">
        <f t="shared" si="188"/>
        <v>0</v>
      </c>
      <c r="DK142" s="36">
        <f t="shared" si="188"/>
        <v>0</v>
      </c>
      <c r="DL142" s="36">
        <f t="shared" si="188"/>
        <v>0</v>
      </c>
      <c r="DM142" s="36">
        <f t="shared" si="188"/>
        <v>0</v>
      </c>
      <c r="DN142" s="36">
        <f t="shared" si="188"/>
        <v>0</v>
      </c>
      <c r="DO142" s="36">
        <f t="shared" si="188"/>
        <v>0</v>
      </c>
      <c r="DP142" s="36">
        <f t="shared" si="188"/>
        <v>0</v>
      </c>
      <c r="DQ142" s="36">
        <f t="shared" si="188"/>
        <v>0</v>
      </c>
      <c r="DR142" s="36">
        <f t="shared" si="188"/>
        <v>0</v>
      </c>
      <c r="DS142" s="36">
        <f t="shared" si="188"/>
        <v>0</v>
      </c>
      <c r="DT142" s="36">
        <f t="shared" si="188"/>
        <v>0</v>
      </c>
      <c r="DU142" s="36">
        <f t="shared" si="188"/>
        <v>0</v>
      </c>
      <c r="DV142" s="36">
        <f t="shared" si="188"/>
        <v>0</v>
      </c>
      <c r="DW142" s="36">
        <f t="shared" si="188"/>
        <v>0</v>
      </c>
      <c r="DX142" s="36">
        <f t="shared" si="188"/>
        <v>0</v>
      </c>
      <c r="DY142" s="36">
        <f t="shared" si="188"/>
        <v>0</v>
      </c>
      <c r="DZ142" s="36">
        <f t="shared" si="188"/>
        <v>0</v>
      </c>
      <c r="EA142" s="36">
        <f t="shared" si="188"/>
        <v>0</v>
      </c>
      <c r="EB142" s="36">
        <f t="shared" si="188"/>
        <v>0</v>
      </c>
      <c r="EC142" s="36">
        <f t="shared" si="188"/>
        <v>0</v>
      </c>
      <c r="ED142" s="36">
        <f t="shared" si="188"/>
        <v>0</v>
      </c>
      <c r="EE142" s="36">
        <f t="shared" si="188"/>
        <v>0</v>
      </c>
      <c r="EF142" s="36">
        <f t="shared" si="188"/>
        <v>0</v>
      </c>
      <c r="EG142" s="36">
        <f t="shared" si="188"/>
        <v>0</v>
      </c>
      <c r="EH142" s="36">
        <f t="shared" si="188"/>
        <v>0</v>
      </c>
      <c r="EI142" s="36">
        <f t="shared" si="188"/>
        <v>0</v>
      </c>
      <c r="EJ142" s="36">
        <f t="shared" si="188"/>
        <v>0</v>
      </c>
      <c r="EK142" s="36">
        <f t="shared" ref="EK142:GV143" si="189">EK155</f>
        <v>0</v>
      </c>
      <c r="EL142" s="36">
        <f t="shared" si="189"/>
        <v>0</v>
      </c>
      <c r="EM142" s="36">
        <f t="shared" si="189"/>
        <v>0</v>
      </c>
      <c r="EN142" s="36">
        <f t="shared" si="189"/>
        <v>0</v>
      </c>
      <c r="EO142" s="36">
        <f t="shared" si="189"/>
        <v>0</v>
      </c>
      <c r="EP142" s="36">
        <f t="shared" si="189"/>
        <v>0</v>
      </c>
      <c r="EQ142" s="36">
        <f t="shared" si="189"/>
        <v>0</v>
      </c>
      <c r="ER142" s="36">
        <f t="shared" si="189"/>
        <v>0</v>
      </c>
      <c r="ES142" s="36">
        <f t="shared" si="189"/>
        <v>0</v>
      </c>
      <c r="ET142" s="36">
        <f t="shared" si="189"/>
        <v>0</v>
      </c>
      <c r="EU142" s="36">
        <f t="shared" si="189"/>
        <v>0</v>
      </c>
      <c r="EV142" s="36">
        <f t="shared" si="189"/>
        <v>0</v>
      </c>
      <c r="EW142" s="36">
        <f t="shared" si="189"/>
        <v>0</v>
      </c>
      <c r="EX142" s="36">
        <f t="shared" si="189"/>
        <v>0</v>
      </c>
      <c r="EY142" s="36">
        <f t="shared" si="189"/>
        <v>0</v>
      </c>
      <c r="EZ142" s="36">
        <f t="shared" si="189"/>
        <v>0</v>
      </c>
      <c r="FA142" s="36">
        <f t="shared" si="189"/>
        <v>0</v>
      </c>
      <c r="FB142" s="36">
        <f t="shared" si="189"/>
        <v>0</v>
      </c>
      <c r="FC142" s="36">
        <f t="shared" si="189"/>
        <v>0</v>
      </c>
      <c r="FD142" s="36">
        <f t="shared" si="189"/>
        <v>0</v>
      </c>
      <c r="FE142" s="36">
        <f t="shared" si="189"/>
        <v>0</v>
      </c>
      <c r="FF142" s="36">
        <f t="shared" si="189"/>
        <v>0</v>
      </c>
      <c r="FG142" s="36">
        <f t="shared" si="189"/>
        <v>0</v>
      </c>
      <c r="FH142" s="36">
        <f t="shared" si="189"/>
        <v>0</v>
      </c>
      <c r="FI142" s="36">
        <f t="shared" si="189"/>
        <v>0</v>
      </c>
      <c r="FJ142" s="36">
        <f t="shared" si="189"/>
        <v>0</v>
      </c>
      <c r="FK142" s="36">
        <f t="shared" si="189"/>
        <v>0</v>
      </c>
      <c r="FL142" s="36">
        <f t="shared" si="189"/>
        <v>0</v>
      </c>
      <c r="FM142" s="36">
        <f t="shared" si="189"/>
        <v>0</v>
      </c>
      <c r="FN142" s="36">
        <f t="shared" si="189"/>
        <v>0</v>
      </c>
      <c r="FO142" s="36">
        <f t="shared" si="189"/>
        <v>0</v>
      </c>
      <c r="FP142" s="36">
        <f t="shared" si="189"/>
        <v>0</v>
      </c>
      <c r="FQ142" s="36">
        <f t="shared" si="189"/>
        <v>0</v>
      </c>
      <c r="FR142" s="36">
        <f t="shared" si="189"/>
        <v>0</v>
      </c>
      <c r="FS142" s="36">
        <f t="shared" si="189"/>
        <v>0</v>
      </c>
      <c r="FT142" s="36">
        <f t="shared" si="189"/>
        <v>0</v>
      </c>
      <c r="FU142" s="36">
        <f t="shared" si="189"/>
        <v>0</v>
      </c>
      <c r="FV142" s="36">
        <f t="shared" si="189"/>
        <v>0</v>
      </c>
      <c r="FW142" s="36">
        <f t="shared" si="189"/>
        <v>0</v>
      </c>
      <c r="FX142" s="36">
        <f t="shared" si="189"/>
        <v>0</v>
      </c>
      <c r="FY142" s="36">
        <f t="shared" si="189"/>
        <v>0</v>
      </c>
      <c r="FZ142" s="36">
        <f t="shared" si="189"/>
        <v>0</v>
      </c>
      <c r="GA142" s="36">
        <f t="shared" si="189"/>
        <v>0</v>
      </c>
      <c r="GB142" s="36">
        <f t="shared" si="189"/>
        <v>0</v>
      </c>
      <c r="GC142" s="36">
        <f t="shared" si="189"/>
        <v>0</v>
      </c>
      <c r="GD142" s="36">
        <f t="shared" si="189"/>
        <v>0</v>
      </c>
      <c r="GE142" s="36">
        <f t="shared" si="189"/>
        <v>0</v>
      </c>
      <c r="GF142" s="36">
        <f t="shared" si="189"/>
        <v>0</v>
      </c>
      <c r="GG142" s="36">
        <f t="shared" si="189"/>
        <v>0</v>
      </c>
      <c r="GH142" s="36">
        <f t="shared" si="189"/>
        <v>0</v>
      </c>
      <c r="GI142" s="36">
        <f t="shared" si="189"/>
        <v>0</v>
      </c>
      <c r="GJ142" s="36">
        <f t="shared" si="189"/>
        <v>0</v>
      </c>
      <c r="GK142" s="36">
        <f t="shared" si="189"/>
        <v>0</v>
      </c>
      <c r="GL142" s="36">
        <f t="shared" si="189"/>
        <v>0</v>
      </c>
      <c r="GM142" s="36">
        <f t="shared" si="189"/>
        <v>0</v>
      </c>
      <c r="GN142" s="36">
        <f t="shared" si="189"/>
        <v>0</v>
      </c>
      <c r="GO142" s="36">
        <f t="shared" si="189"/>
        <v>0</v>
      </c>
      <c r="GP142" s="36">
        <f t="shared" si="189"/>
        <v>0</v>
      </c>
      <c r="GQ142" s="36">
        <f t="shared" si="189"/>
        <v>0</v>
      </c>
      <c r="GR142" s="36">
        <f t="shared" si="189"/>
        <v>0</v>
      </c>
      <c r="GS142" s="36">
        <f t="shared" si="189"/>
        <v>0</v>
      </c>
      <c r="GT142" s="36">
        <f t="shared" si="189"/>
        <v>0</v>
      </c>
      <c r="GU142" s="36">
        <f t="shared" si="189"/>
        <v>0</v>
      </c>
      <c r="GV142" s="36">
        <f t="shared" si="189"/>
        <v>0</v>
      </c>
      <c r="GW142" s="36">
        <f t="shared" ref="GW142:HE143" si="190">GW155</f>
        <v>0</v>
      </c>
      <c r="GX142" s="36">
        <f t="shared" si="190"/>
        <v>0</v>
      </c>
      <c r="GY142" s="36">
        <f t="shared" si="190"/>
        <v>0</v>
      </c>
      <c r="GZ142" s="36">
        <f t="shared" si="190"/>
        <v>0</v>
      </c>
      <c r="HA142" s="36">
        <f t="shared" si="190"/>
        <v>0</v>
      </c>
      <c r="HB142" s="36">
        <f t="shared" si="190"/>
        <v>0</v>
      </c>
      <c r="HC142" s="36">
        <f t="shared" si="190"/>
        <v>0</v>
      </c>
      <c r="HD142" s="36">
        <f t="shared" si="190"/>
        <v>0</v>
      </c>
      <c r="HE142" s="36">
        <f t="shared" si="190"/>
        <v>0</v>
      </c>
    </row>
    <row r="143" spans="1:213" s="36" customFormat="1" ht="15.75">
      <c r="A143" s="34" t="s">
        <v>90</v>
      </c>
      <c r="B143" s="35">
        <f t="shared" ref="B143:O143" si="191">B134+B136</f>
        <v>0</v>
      </c>
      <c r="C143" s="35">
        <f t="shared" si="191"/>
        <v>0</v>
      </c>
      <c r="D143" s="35">
        <f t="shared" si="191"/>
        <v>0</v>
      </c>
      <c r="E143" s="35">
        <f t="shared" si="191"/>
        <v>0</v>
      </c>
      <c r="F143" s="35">
        <f t="shared" si="191"/>
        <v>0</v>
      </c>
      <c r="G143" s="35">
        <f t="shared" si="191"/>
        <v>0</v>
      </c>
      <c r="H143" s="35">
        <f t="shared" si="191"/>
        <v>0</v>
      </c>
      <c r="I143" s="35">
        <f t="shared" si="191"/>
        <v>0</v>
      </c>
      <c r="J143" s="35">
        <f t="shared" si="191"/>
        <v>0</v>
      </c>
      <c r="K143" s="35">
        <f t="shared" si="191"/>
        <v>0</v>
      </c>
      <c r="L143" s="35">
        <f t="shared" si="191"/>
        <v>0</v>
      </c>
      <c r="M143" s="35">
        <f t="shared" si="191"/>
        <v>0</v>
      </c>
      <c r="N143" s="35">
        <f t="shared" si="191"/>
        <v>0</v>
      </c>
      <c r="O143" s="35">
        <f t="shared" si="191"/>
        <v>0</v>
      </c>
      <c r="P143" s="35">
        <f>P134+P136</f>
        <v>0</v>
      </c>
      <c r="Q143" s="35">
        <f t="shared" ref="Q143:R143" si="192">Q134+Q136</f>
        <v>0</v>
      </c>
      <c r="R143" s="35">
        <f t="shared" si="192"/>
        <v>0</v>
      </c>
      <c r="S143" s="35">
        <f t="shared" ref="S143:V143" si="193">S134+S136</f>
        <v>0</v>
      </c>
      <c r="T143" s="35">
        <f t="shared" si="193"/>
        <v>0</v>
      </c>
      <c r="U143" s="35">
        <f t="shared" si="193"/>
        <v>0</v>
      </c>
      <c r="V143" s="35">
        <f t="shared" si="193"/>
        <v>0</v>
      </c>
      <c r="W143" s="35">
        <f t="shared" ref="W143:AB143" si="194">W134+W136</f>
        <v>0</v>
      </c>
      <c r="X143" s="35">
        <f t="shared" si="194"/>
        <v>0</v>
      </c>
      <c r="Y143" s="35">
        <f t="shared" si="194"/>
        <v>0</v>
      </c>
      <c r="Z143" s="35">
        <f t="shared" si="194"/>
        <v>0</v>
      </c>
      <c r="AA143" s="35">
        <f t="shared" si="194"/>
        <v>0</v>
      </c>
      <c r="AB143" s="35">
        <f t="shared" si="194"/>
        <v>0</v>
      </c>
      <c r="AC143" s="35">
        <f t="shared" ref="AC143:AD143" si="195">AC134+AC136</f>
        <v>0</v>
      </c>
      <c r="AD143" s="35">
        <f t="shared" si="195"/>
        <v>0</v>
      </c>
      <c r="AE143" s="35">
        <f t="shared" ref="AE143:AF143" si="196">AE134+AE136</f>
        <v>0</v>
      </c>
      <c r="AF143" s="35">
        <f t="shared" si="196"/>
        <v>0</v>
      </c>
      <c r="AG143" s="35">
        <f t="shared" ref="AG143:AH143" si="197">AG134+AG136</f>
        <v>0</v>
      </c>
      <c r="AH143" s="35">
        <f t="shared" si="197"/>
        <v>0</v>
      </c>
      <c r="AI143" s="35">
        <f t="shared" ref="AI143" si="198">AI134+AI136</f>
        <v>0</v>
      </c>
      <c r="AJ143" s="35">
        <f t="shared" ref="AJ143" si="199">AJ134+AJ136</f>
        <v>0</v>
      </c>
      <c r="AK143" s="35">
        <f t="shared" ref="AK143" si="200">AK134+AK136</f>
        <v>0</v>
      </c>
      <c r="AL143" s="34" t="s">
        <v>91</v>
      </c>
      <c r="AM143" s="426">
        <f t="shared" ref="AM143" si="201">AM138+AM139+AM140</f>
        <v>4391</v>
      </c>
      <c r="AN143" s="426">
        <f t="shared" ref="AN143:AO143" si="202">AN138+AN139+AN140</f>
        <v>0</v>
      </c>
      <c r="AO143" s="426">
        <f t="shared" si="202"/>
        <v>4391</v>
      </c>
      <c r="AP143" s="426">
        <f t="shared" ref="AP143:BA143" si="203">AP138+AP139+AP140</f>
        <v>102329</v>
      </c>
      <c r="AQ143" s="426">
        <f t="shared" si="203"/>
        <v>106720</v>
      </c>
      <c r="AR143" s="426">
        <f t="shared" si="203"/>
        <v>0</v>
      </c>
      <c r="AS143" s="426">
        <f t="shared" si="203"/>
        <v>106720</v>
      </c>
      <c r="AT143" s="426">
        <f t="shared" si="203"/>
        <v>0</v>
      </c>
      <c r="AU143" s="426">
        <f t="shared" si="203"/>
        <v>106720</v>
      </c>
      <c r="AV143" s="426">
        <f t="shared" si="203"/>
        <v>0</v>
      </c>
      <c r="AW143" s="426">
        <f t="shared" si="203"/>
        <v>106720</v>
      </c>
      <c r="AX143" s="426">
        <f t="shared" si="203"/>
        <v>15000</v>
      </c>
      <c r="AY143" s="426">
        <f t="shared" si="203"/>
        <v>121720</v>
      </c>
      <c r="AZ143" s="426">
        <f t="shared" si="203"/>
        <v>0</v>
      </c>
      <c r="BA143" s="426">
        <f t="shared" si="203"/>
        <v>121720</v>
      </c>
      <c r="BB143" s="426">
        <f t="shared" ref="BB143" si="204">BB138+BB139+BB140</f>
        <v>100</v>
      </c>
      <c r="BC143" s="426">
        <f t="shared" ref="BC143:BE143" si="205">BC138+BC139+BC140</f>
        <v>121820</v>
      </c>
      <c r="BD143" s="426">
        <f t="shared" si="205"/>
        <v>0</v>
      </c>
      <c r="BE143" s="426">
        <f t="shared" si="205"/>
        <v>121820</v>
      </c>
      <c r="BF143" s="426">
        <f t="shared" ref="BF143:BH143" si="206">BF138+BF139+BF140</f>
        <v>4391</v>
      </c>
      <c r="BG143" s="426">
        <f t="shared" si="206"/>
        <v>0</v>
      </c>
      <c r="BH143" s="426">
        <f t="shared" si="206"/>
        <v>4391</v>
      </c>
      <c r="BY143" s="36">
        <f t="shared" si="188"/>
        <v>0</v>
      </c>
      <c r="BZ143" s="36">
        <f t="shared" si="188"/>
        <v>0</v>
      </c>
      <c r="CA143" s="36">
        <f t="shared" si="188"/>
        <v>0</v>
      </c>
      <c r="CB143" s="36">
        <f t="shared" si="188"/>
        <v>0</v>
      </c>
      <c r="CC143" s="36">
        <f t="shared" si="188"/>
        <v>0</v>
      </c>
      <c r="CD143" s="36">
        <f t="shared" si="188"/>
        <v>0</v>
      </c>
      <c r="CE143" s="36">
        <f t="shared" si="188"/>
        <v>0</v>
      </c>
      <c r="CF143" s="36">
        <f t="shared" si="188"/>
        <v>0</v>
      </c>
      <c r="CG143" s="36">
        <f t="shared" si="188"/>
        <v>0</v>
      </c>
      <c r="CH143" s="36">
        <f t="shared" si="188"/>
        <v>0</v>
      </c>
      <c r="CI143" s="36">
        <f t="shared" si="188"/>
        <v>0</v>
      </c>
      <c r="CJ143" s="36">
        <f t="shared" si="188"/>
        <v>0</v>
      </c>
      <c r="CK143" s="36">
        <f t="shared" si="188"/>
        <v>0</v>
      </c>
      <c r="CL143" s="36">
        <f t="shared" si="188"/>
        <v>0</v>
      </c>
      <c r="CM143" s="36">
        <f t="shared" si="188"/>
        <v>0</v>
      </c>
      <c r="CN143" s="36">
        <f t="shared" si="188"/>
        <v>0</v>
      </c>
      <c r="CO143" s="36">
        <f t="shared" si="188"/>
        <v>0</v>
      </c>
      <c r="CP143" s="36">
        <f t="shared" si="188"/>
        <v>0</v>
      </c>
      <c r="CQ143" s="36">
        <f t="shared" si="188"/>
        <v>0</v>
      </c>
      <c r="CR143" s="36">
        <f t="shared" si="188"/>
        <v>0</v>
      </c>
      <c r="CS143" s="36">
        <f t="shared" si="188"/>
        <v>0</v>
      </c>
      <c r="CT143" s="36">
        <f t="shared" si="188"/>
        <v>0</v>
      </c>
      <c r="CU143" s="36">
        <f t="shared" si="188"/>
        <v>0</v>
      </c>
      <c r="CV143" s="36">
        <f t="shared" si="188"/>
        <v>0</v>
      </c>
      <c r="CW143" s="36">
        <f t="shared" si="188"/>
        <v>0</v>
      </c>
      <c r="CX143" s="36">
        <f t="shared" si="188"/>
        <v>0</v>
      </c>
      <c r="CY143" s="36">
        <f t="shared" si="188"/>
        <v>0</v>
      </c>
      <c r="CZ143" s="36">
        <f t="shared" si="188"/>
        <v>0</v>
      </c>
      <c r="DA143" s="36">
        <f t="shared" si="188"/>
        <v>0</v>
      </c>
      <c r="DB143" s="36">
        <f t="shared" si="188"/>
        <v>0</v>
      </c>
      <c r="DC143" s="36">
        <f t="shared" si="188"/>
        <v>0</v>
      </c>
      <c r="DD143" s="36">
        <f t="shared" si="188"/>
        <v>0</v>
      </c>
      <c r="DE143" s="36">
        <f t="shared" si="188"/>
        <v>0</v>
      </c>
      <c r="DF143" s="36">
        <f t="shared" si="188"/>
        <v>0</v>
      </c>
      <c r="DG143" s="36">
        <f t="shared" si="188"/>
        <v>0</v>
      </c>
      <c r="DH143" s="36">
        <f t="shared" si="188"/>
        <v>0</v>
      </c>
      <c r="DI143" s="36">
        <f t="shared" si="188"/>
        <v>0</v>
      </c>
      <c r="DJ143" s="36">
        <f t="shared" si="188"/>
        <v>0</v>
      </c>
      <c r="DK143" s="36">
        <f t="shared" si="188"/>
        <v>0</v>
      </c>
      <c r="DL143" s="36">
        <f t="shared" si="188"/>
        <v>0</v>
      </c>
      <c r="DM143" s="36">
        <f t="shared" si="188"/>
        <v>0</v>
      </c>
      <c r="DN143" s="36">
        <f t="shared" si="188"/>
        <v>0</v>
      </c>
      <c r="DO143" s="36">
        <f t="shared" si="188"/>
        <v>0</v>
      </c>
      <c r="DP143" s="36">
        <f t="shared" si="188"/>
        <v>0</v>
      </c>
      <c r="DQ143" s="36">
        <f t="shared" si="188"/>
        <v>0</v>
      </c>
      <c r="DR143" s="36">
        <f t="shared" si="188"/>
        <v>0</v>
      </c>
      <c r="DS143" s="36">
        <f t="shared" si="188"/>
        <v>0</v>
      </c>
      <c r="DT143" s="36">
        <f t="shared" si="188"/>
        <v>0</v>
      </c>
      <c r="DU143" s="36">
        <f t="shared" si="188"/>
        <v>0</v>
      </c>
      <c r="DV143" s="36">
        <f t="shared" si="188"/>
        <v>0</v>
      </c>
      <c r="DW143" s="36">
        <f t="shared" si="188"/>
        <v>0</v>
      </c>
      <c r="DX143" s="36">
        <f t="shared" si="188"/>
        <v>0</v>
      </c>
      <c r="DY143" s="36">
        <f t="shared" si="188"/>
        <v>0</v>
      </c>
      <c r="DZ143" s="36">
        <f t="shared" si="188"/>
        <v>0</v>
      </c>
      <c r="EA143" s="36">
        <f t="shared" si="188"/>
        <v>0</v>
      </c>
      <c r="EB143" s="36">
        <f t="shared" si="188"/>
        <v>0</v>
      </c>
      <c r="EC143" s="36">
        <f t="shared" si="188"/>
        <v>0</v>
      </c>
      <c r="ED143" s="36">
        <f t="shared" si="188"/>
        <v>0</v>
      </c>
      <c r="EE143" s="36">
        <f t="shared" si="188"/>
        <v>0</v>
      </c>
      <c r="EF143" s="36">
        <f t="shared" si="188"/>
        <v>0</v>
      </c>
      <c r="EG143" s="36">
        <f t="shared" si="188"/>
        <v>0</v>
      </c>
      <c r="EH143" s="36">
        <f t="shared" si="188"/>
        <v>0</v>
      </c>
      <c r="EI143" s="36">
        <f t="shared" si="188"/>
        <v>0</v>
      </c>
      <c r="EJ143" s="36">
        <f t="shared" si="188"/>
        <v>0</v>
      </c>
      <c r="EK143" s="36">
        <f t="shared" si="189"/>
        <v>0</v>
      </c>
      <c r="EL143" s="36">
        <f t="shared" si="189"/>
        <v>0</v>
      </c>
      <c r="EM143" s="36">
        <f t="shared" si="189"/>
        <v>0</v>
      </c>
      <c r="EN143" s="36">
        <f t="shared" si="189"/>
        <v>0</v>
      </c>
      <c r="EO143" s="36">
        <f t="shared" si="189"/>
        <v>0</v>
      </c>
      <c r="EP143" s="36">
        <f t="shared" si="189"/>
        <v>0</v>
      </c>
      <c r="EQ143" s="36">
        <f t="shared" si="189"/>
        <v>0</v>
      </c>
      <c r="ER143" s="36">
        <f t="shared" si="189"/>
        <v>0</v>
      </c>
      <c r="ES143" s="36">
        <f t="shared" si="189"/>
        <v>0</v>
      </c>
      <c r="ET143" s="36">
        <f t="shared" si="189"/>
        <v>0</v>
      </c>
      <c r="EU143" s="36">
        <f t="shared" si="189"/>
        <v>0</v>
      </c>
      <c r="EV143" s="36">
        <f t="shared" si="189"/>
        <v>0</v>
      </c>
      <c r="EW143" s="36">
        <f t="shared" si="189"/>
        <v>0</v>
      </c>
      <c r="EX143" s="36">
        <f t="shared" si="189"/>
        <v>0</v>
      </c>
      <c r="EY143" s="36">
        <f t="shared" si="189"/>
        <v>0</v>
      </c>
      <c r="EZ143" s="36">
        <f t="shared" si="189"/>
        <v>0</v>
      </c>
      <c r="FA143" s="36">
        <f t="shared" si="189"/>
        <v>0</v>
      </c>
      <c r="FB143" s="36">
        <f t="shared" si="189"/>
        <v>0</v>
      </c>
      <c r="FC143" s="36">
        <f t="shared" si="189"/>
        <v>0</v>
      </c>
      <c r="FD143" s="36">
        <f t="shared" si="189"/>
        <v>0</v>
      </c>
      <c r="FE143" s="36">
        <f t="shared" si="189"/>
        <v>0</v>
      </c>
      <c r="FF143" s="36">
        <f t="shared" si="189"/>
        <v>0</v>
      </c>
      <c r="FG143" s="36">
        <f t="shared" si="189"/>
        <v>0</v>
      </c>
      <c r="FH143" s="36">
        <f t="shared" si="189"/>
        <v>0</v>
      </c>
      <c r="FI143" s="36">
        <f t="shared" si="189"/>
        <v>0</v>
      </c>
      <c r="FJ143" s="36">
        <f t="shared" si="189"/>
        <v>0</v>
      </c>
      <c r="FK143" s="36">
        <f t="shared" si="189"/>
        <v>0</v>
      </c>
      <c r="FL143" s="36">
        <f t="shared" si="189"/>
        <v>0</v>
      </c>
      <c r="FM143" s="36">
        <f t="shared" si="189"/>
        <v>0</v>
      </c>
      <c r="FN143" s="36">
        <f t="shared" si="189"/>
        <v>0</v>
      </c>
      <c r="FO143" s="36">
        <f t="shared" si="189"/>
        <v>0</v>
      </c>
      <c r="FP143" s="36">
        <f t="shared" si="189"/>
        <v>0</v>
      </c>
      <c r="FQ143" s="36">
        <f t="shared" si="189"/>
        <v>0</v>
      </c>
      <c r="FR143" s="36">
        <f t="shared" si="189"/>
        <v>0</v>
      </c>
      <c r="FS143" s="36">
        <f t="shared" si="189"/>
        <v>0</v>
      </c>
      <c r="FT143" s="36">
        <f t="shared" si="189"/>
        <v>0</v>
      </c>
      <c r="FU143" s="36">
        <f t="shared" si="189"/>
        <v>0</v>
      </c>
      <c r="FV143" s="36">
        <f t="shared" si="189"/>
        <v>0</v>
      </c>
      <c r="FW143" s="36">
        <f t="shared" si="189"/>
        <v>0</v>
      </c>
      <c r="FX143" s="36">
        <f t="shared" si="189"/>
        <v>0</v>
      </c>
      <c r="FY143" s="36">
        <f t="shared" si="189"/>
        <v>0</v>
      </c>
      <c r="FZ143" s="36">
        <f t="shared" si="189"/>
        <v>0</v>
      </c>
      <c r="GA143" s="36">
        <f t="shared" si="189"/>
        <v>0</v>
      </c>
      <c r="GB143" s="36">
        <f t="shared" si="189"/>
        <v>0</v>
      </c>
      <c r="GC143" s="36">
        <f t="shared" si="189"/>
        <v>0</v>
      </c>
      <c r="GD143" s="36">
        <f t="shared" si="189"/>
        <v>0</v>
      </c>
      <c r="GE143" s="36">
        <f t="shared" si="189"/>
        <v>0</v>
      </c>
      <c r="GF143" s="36">
        <f t="shared" si="189"/>
        <v>0</v>
      </c>
      <c r="GG143" s="36">
        <f t="shared" si="189"/>
        <v>0</v>
      </c>
      <c r="GH143" s="36">
        <f t="shared" si="189"/>
        <v>0</v>
      </c>
      <c r="GI143" s="36">
        <f t="shared" si="189"/>
        <v>0</v>
      </c>
      <c r="GJ143" s="36">
        <f t="shared" si="189"/>
        <v>0</v>
      </c>
      <c r="GK143" s="36">
        <f t="shared" si="189"/>
        <v>0</v>
      </c>
      <c r="GL143" s="36">
        <f t="shared" si="189"/>
        <v>0</v>
      </c>
      <c r="GM143" s="36">
        <f t="shared" si="189"/>
        <v>0</v>
      </c>
      <c r="GN143" s="36">
        <f t="shared" si="189"/>
        <v>0</v>
      </c>
      <c r="GO143" s="36">
        <f t="shared" si="189"/>
        <v>0</v>
      </c>
      <c r="GP143" s="36">
        <f t="shared" si="189"/>
        <v>0</v>
      </c>
      <c r="GQ143" s="36">
        <f t="shared" si="189"/>
        <v>0</v>
      </c>
      <c r="GR143" s="36">
        <f t="shared" si="189"/>
        <v>0</v>
      </c>
      <c r="GS143" s="36">
        <f t="shared" si="189"/>
        <v>0</v>
      </c>
      <c r="GT143" s="36">
        <f t="shared" si="189"/>
        <v>0</v>
      </c>
      <c r="GU143" s="36">
        <f t="shared" si="189"/>
        <v>0</v>
      </c>
      <c r="GV143" s="36">
        <f t="shared" si="189"/>
        <v>0</v>
      </c>
      <c r="GW143" s="36">
        <f t="shared" si="190"/>
        <v>0</v>
      </c>
      <c r="GX143" s="36">
        <f t="shared" si="190"/>
        <v>0</v>
      </c>
      <c r="GY143" s="36">
        <f t="shared" si="190"/>
        <v>0</v>
      </c>
      <c r="GZ143" s="36">
        <f t="shared" si="190"/>
        <v>0</v>
      </c>
      <c r="HA143" s="36">
        <f t="shared" si="190"/>
        <v>0</v>
      </c>
      <c r="HB143" s="36">
        <f t="shared" si="190"/>
        <v>0</v>
      </c>
      <c r="HC143" s="36">
        <f t="shared" si="190"/>
        <v>0</v>
      </c>
      <c r="HD143" s="36">
        <f t="shared" si="190"/>
        <v>0</v>
      </c>
      <c r="HE143" s="36">
        <f t="shared" si="190"/>
        <v>0</v>
      </c>
    </row>
    <row r="144" spans="1:213" s="33" customFormat="1" ht="15.75" customHeight="1">
      <c r="A144" s="709" t="s">
        <v>98</v>
      </c>
      <c r="B144" s="710"/>
      <c r="C144" s="710"/>
      <c r="D144" s="710"/>
      <c r="E144" s="710"/>
      <c r="F144" s="710"/>
      <c r="G144" s="710"/>
      <c r="H144" s="710"/>
      <c r="I144" s="710"/>
      <c r="J144" s="710"/>
      <c r="K144" s="710"/>
      <c r="L144" s="710"/>
      <c r="M144" s="710"/>
      <c r="N144" s="710"/>
      <c r="O144" s="710"/>
      <c r="P144" s="710"/>
      <c r="Q144" s="710"/>
      <c r="R144" s="710"/>
      <c r="S144" s="710"/>
      <c r="T144" s="710"/>
      <c r="U144" s="710"/>
      <c r="V144" s="710"/>
      <c r="W144" s="710"/>
      <c r="X144" s="710"/>
      <c r="Y144" s="710"/>
      <c r="Z144" s="710"/>
      <c r="AA144" s="710"/>
      <c r="AB144" s="710"/>
      <c r="AC144" s="710"/>
      <c r="AD144" s="710"/>
      <c r="AE144" s="710"/>
      <c r="AF144" s="710"/>
      <c r="AG144" s="710"/>
      <c r="AH144" s="710"/>
      <c r="AI144" s="710"/>
      <c r="AJ144" s="710"/>
      <c r="AK144" s="710"/>
      <c r="AL144" s="710"/>
      <c r="AM144" s="710"/>
      <c r="AN144" s="710"/>
      <c r="AO144" s="710"/>
      <c r="AP144" s="710"/>
      <c r="AQ144" s="710"/>
      <c r="AR144" s="710"/>
      <c r="AS144" s="710"/>
      <c r="AT144" s="710"/>
      <c r="AU144" s="710"/>
      <c r="AV144" s="710"/>
      <c r="AW144" s="710"/>
      <c r="AX144" s="710"/>
      <c r="AY144" s="710"/>
      <c r="AZ144" s="710"/>
      <c r="BA144" s="710"/>
      <c r="BB144" s="710"/>
      <c r="BC144" s="710"/>
      <c r="BD144" s="710"/>
      <c r="BE144" s="710"/>
      <c r="BF144" s="710"/>
      <c r="BG144" s="710"/>
      <c r="BH144" s="711"/>
    </row>
    <row r="145" spans="1:60">
      <c r="A145" s="10" t="s">
        <v>9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19">
        <f>SUM(I145:J145)</f>
        <v>0</v>
      </c>
      <c r="L145" s="19"/>
      <c r="M145" s="19">
        <f>SUM(K145:L145)</f>
        <v>0</v>
      </c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8"/>
      <c r="AM145" s="18"/>
      <c r="AN145" s="18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8"/>
      <c r="AZ145" s="18"/>
      <c r="BA145" s="18"/>
      <c r="BB145" s="18"/>
      <c r="BC145" s="18"/>
      <c r="BD145" s="18"/>
      <c r="BE145" s="18"/>
      <c r="BF145" s="18"/>
      <c r="BG145" s="18"/>
      <c r="BH145" s="18"/>
    </row>
    <row r="146" spans="1:60">
      <c r="A146" s="10" t="s">
        <v>59</v>
      </c>
      <c r="B146" s="19"/>
      <c r="C146" s="19">
        <f>SUM(B146:B146)</f>
        <v>0</v>
      </c>
      <c r="D146" s="19"/>
      <c r="E146" s="19">
        <f>SUM(C146:D146)</f>
        <v>0</v>
      </c>
      <c r="F146" s="19"/>
      <c r="G146" s="19">
        <f>SUM(E146:F146)</f>
        <v>0</v>
      </c>
      <c r="H146" s="19"/>
      <c r="I146" s="19">
        <f>SUM(G146:H146)</f>
        <v>0</v>
      </c>
      <c r="J146" s="19"/>
      <c r="K146" s="19">
        <f>SUM(I146:J146)</f>
        <v>0</v>
      </c>
      <c r="L146" s="19"/>
      <c r="M146" s="19">
        <f>SUM(K146:L146)</f>
        <v>0</v>
      </c>
      <c r="N146" s="19"/>
      <c r="O146" s="19">
        <v>1380</v>
      </c>
      <c r="P146" s="19">
        <v>1075</v>
      </c>
      <c r="Q146" s="19"/>
      <c r="R146" s="19">
        <f>SUM(P146:Q146)</f>
        <v>1075</v>
      </c>
      <c r="S146" s="19"/>
      <c r="T146" s="19">
        <f>SUM(R146:S146)</f>
        <v>1075</v>
      </c>
      <c r="U146" s="19"/>
      <c r="V146" s="19">
        <f>SUM(T146:U146)</f>
        <v>1075</v>
      </c>
      <c r="W146" s="19"/>
      <c r="X146" s="19">
        <f>SUM(V146:W146)</f>
        <v>1075</v>
      </c>
      <c r="Y146" s="19"/>
      <c r="Z146" s="19">
        <f>SUM(X146:Y146)</f>
        <v>1075</v>
      </c>
      <c r="AA146" s="19"/>
      <c r="AB146" s="19">
        <f>SUM(Z146:AA146)</f>
        <v>1075</v>
      </c>
      <c r="AC146" s="19"/>
      <c r="AD146" s="19">
        <f>SUM(AB146:AC146)</f>
        <v>1075</v>
      </c>
      <c r="AE146" s="19"/>
      <c r="AF146" s="19">
        <f>SUM(AD146:AE146)</f>
        <v>1075</v>
      </c>
      <c r="AG146" s="19"/>
      <c r="AH146" s="19">
        <f>SUM(AF146:AG146)</f>
        <v>1075</v>
      </c>
      <c r="AI146" s="19">
        <v>1075</v>
      </c>
      <c r="AJ146" s="19"/>
      <c r="AK146" s="19">
        <f>SUM(AI146:AJ146)</f>
        <v>1075</v>
      </c>
      <c r="AL146" s="11" t="s">
        <v>10</v>
      </c>
      <c r="AM146" s="388">
        <f>428997-11173</f>
        <v>417824</v>
      </c>
      <c r="AN146" s="388">
        <v>47</v>
      </c>
      <c r="AO146" s="388">
        <f>SUM(AM146:AN146)</f>
        <v>417871</v>
      </c>
      <c r="AP146" s="388">
        <v>7027</v>
      </c>
      <c r="AQ146" s="388">
        <f>SUM(AO146:AP146)</f>
        <v>424898</v>
      </c>
      <c r="AR146" s="388">
        <v>20</v>
      </c>
      <c r="AS146" s="388">
        <f>SUM(AQ146:AR146)</f>
        <v>424918</v>
      </c>
      <c r="AT146" s="388">
        <v>20</v>
      </c>
      <c r="AU146" s="388">
        <f>SUM(AS146:AT146)</f>
        <v>424938</v>
      </c>
      <c r="AV146" s="388">
        <v>40</v>
      </c>
      <c r="AW146" s="388">
        <f>SUM(AU146:AV146)</f>
        <v>424978</v>
      </c>
      <c r="AX146" s="388">
        <v>20</v>
      </c>
      <c r="AY146" s="388">
        <f>SUM(AW146:AX146)</f>
        <v>424998</v>
      </c>
      <c r="AZ146" s="388">
        <v>20</v>
      </c>
      <c r="BA146" s="388">
        <f>SUM(AY146:AZ146)</f>
        <v>425018</v>
      </c>
      <c r="BB146" s="388">
        <v>-2480</v>
      </c>
      <c r="BC146" s="388">
        <f>SUM(BA146:BB146)</f>
        <v>422538</v>
      </c>
      <c r="BD146" s="388">
        <v>20</v>
      </c>
      <c r="BE146" s="388">
        <f>SUM(BC146:BD146)</f>
        <v>422558</v>
      </c>
      <c r="BF146" s="388">
        <v>439337</v>
      </c>
      <c r="BG146" s="18">
        <v>29</v>
      </c>
      <c r="BH146" s="388">
        <f>SUM(BF146:BG146)</f>
        <v>439366</v>
      </c>
    </row>
    <row r="147" spans="1:60">
      <c r="A147" s="10" t="s">
        <v>67</v>
      </c>
      <c r="B147" s="19"/>
      <c r="C147" s="19">
        <f>SUM(B147:B147)</f>
        <v>0</v>
      </c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>
        <v>100</v>
      </c>
      <c r="T147" s="19">
        <f>SUM(R147:S147)</f>
        <v>100</v>
      </c>
      <c r="U147" s="19"/>
      <c r="V147" s="19">
        <f>SUM(T147:U147)</f>
        <v>100</v>
      </c>
      <c r="W147" s="19"/>
      <c r="X147" s="19">
        <f>SUM(V147:W147)</f>
        <v>100</v>
      </c>
      <c r="Y147" s="19"/>
      <c r="Z147" s="19">
        <f>SUM(X147:Y147)</f>
        <v>100</v>
      </c>
      <c r="AA147" s="19"/>
      <c r="AB147" s="19">
        <f>SUM(Z147:AA147)</f>
        <v>100</v>
      </c>
      <c r="AC147" s="19"/>
      <c r="AD147" s="19">
        <f>SUM(AB147:AC147)</f>
        <v>100</v>
      </c>
      <c r="AE147" s="19"/>
      <c r="AF147" s="19">
        <f>SUM(AD147:AE147)</f>
        <v>100</v>
      </c>
      <c r="AG147" s="19"/>
      <c r="AH147" s="19">
        <f>SUM(AF147:AG147)</f>
        <v>100</v>
      </c>
      <c r="AI147" s="19"/>
      <c r="AJ147" s="19"/>
      <c r="AK147" s="19"/>
      <c r="AL147" s="10" t="s">
        <v>12</v>
      </c>
      <c r="AM147" s="388">
        <f>92885-2179</f>
        <v>90706</v>
      </c>
      <c r="AN147" s="388">
        <v>9</v>
      </c>
      <c r="AO147" s="388">
        <f t="shared" ref="AO147:AO148" si="207">SUM(AM147:AN147)</f>
        <v>90715</v>
      </c>
      <c r="AP147" s="388">
        <v>1370</v>
      </c>
      <c r="AQ147" s="388">
        <f t="shared" ref="AQ147:AQ148" si="208">SUM(AO147:AP147)</f>
        <v>92085</v>
      </c>
      <c r="AR147" s="388">
        <v>4</v>
      </c>
      <c r="AS147" s="388">
        <f t="shared" ref="AS147:AS151" si="209">SUM(AQ147:AR147)</f>
        <v>92089</v>
      </c>
      <c r="AT147" s="388">
        <v>4</v>
      </c>
      <c r="AU147" s="388">
        <f t="shared" ref="AU147:AU148" si="210">SUM(AS147:AT147)</f>
        <v>92093</v>
      </c>
      <c r="AV147" s="388">
        <v>8</v>
      </c>
      <c r="AW147" s="388">
        <f t="shared" ref="AW147:AW148" si="211">SUM(AU147:AV147)</f>
        <v>92101</v>
      </c>
      <c r="AX147" s="388">
        <v>3</v>
      </c>
      <c r="AY147" s="388">
        <f t="shared" ref="AY147:AY148" si="212">SUM(AW147:AX147)</f>
        <v>92104</v>
      </c>
      <c r="AZ147" s="388">
        <v>3</v>
      </c>
      <c r="BA147" s="388">
        <f t="shared" ref="BA147:BA148" si="213">SUM(AY147:AZ147)</f>
        <v>92107</v>
      </c>
      <c r="BB147" s="388">
        <v>3</v>
      </c>
      <c r="BC147" s="388">
        <f t="shared" ref="BC147:BC148" si="214">SUM(BA147:BB147)</f>
        <v>92110</v>
      </c>
      <c r="BD147" s="388">
        <v>3</v>
      </c>
      <c r="BE147" s="388">
        <f t="shared" ref="BE147:BE153" si="215">SUM(BC147:BD147)</f>
        <v>92113</v>
      </c>
      <c r="BF147" s="388">
        <v>86895</v>
      </c>
      <c r="BG147" s="18">
        <v>5</v>
      </c>
      <c r="BH147" s="388">
        <f t="shared" ref="BH147:BH148" si="216">SUM(BF147:BG147)</f>
        <v>86900</v>
      </c>
    </row>
    <row r="148" spans="1:60">
      <c r="A148" s="10" t="s">
        <v>70</v>
      </c>
      <c r="B148" s="19"/>
      <c r="C148" s="19">
        <f>SUM(B148:B148)</f>
        <v>0</v>
      </c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4" t="s">
        <v>14</v>
      </c>
      <c r="AM148" s="388">
        <f>18067-11000</f>
        <v>7067</v>
      </c>
      <c r="AN148" s="388"/>
      <c r="AO148" s="388">
        <f t="shared" si="207"/>
        <v>7067</v>
      </c>
      <c r="AP148" s="388">
        <v>138</v>
      </c>
      <c r="AQ148" s="388">
        <f t="shared" si="208"/>
        <v>7205</v>
      </c>
      <c r="AR148" s="388"/>
      <c r="AS148" s="388">
        <f t="shared" si="209"/>
        <v>7205</v>
      </c>
      <c r="AT148" s="388"/>
      <c r="AU148" s="388">
        <f t="shared" si="210"/>
        <v>7205</v>
      </c>
      <c r="AV148" s="388"/>
      <c r="AW148" s="388">
        <f t="shared" si="211"/>
        <v>7205</v>
      </c>
      <c r="AX148" s="388"/>
      <c r="AY148" s="388">
        <f t="shared" si="212"/>
        <v>7205</v>
      </c>
      <c r="AZ148" s="388"/>
      <c r="BA148" s="388">
        <f t="shared" si="213"/>
        <v>7205</v>
      </c>
      <c r="BB148" s="388">
        <v>2050</v>
      </c>
      <c r="BC148" s="388">
        <f t="shared" si="214"/>
        <v>9255</v>
      </c>
      <c r="BD148" s="388"/>
      <c r="BE148" s="388">
        <f t="shared" si="215"/>
        <v>9255</v>
      </c>
      <c r="BF148" s="388">
        <v>9000</v>
      </c>
      <c r="BG148" s="18"/>
      <c r="BH148" s="388">
        <f t="shared" si="216"/>
        <v>9000</v>
      </c>
    </row>
    <row r="149" spans="1:60">
      <c r="A149" s="10" t="s">
        <v>72</v>
      </c>
      <c r="B149" s="19"/>
      <c r="C149" s="19">
        <f>SUM(B149:B149)</f>
        <v>0</v>
      </c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5" t="s">
        <v>16</v>
      </c>
      <c r="AM149" s="388"/>
      <c r="AN149" s="388"/>
      <c r="AO149" s="388"/>
      <c r="AP149" s="388"/>
      <c r="AQ149" s="388"/>
      <c r="AR149" s="388"/>
      <c r="AS149" s="388"/>
      <c r="AT149" s="388"/>
      <c r="AU149" s="388"/>
      <c r="AV149" s="388"/>
      <c r="AW149" s="388"/>
      <c r="AX149" s="388"/>
      <c r="AY149" s="388"/>
      <c r="AZ149" s="388"/>
      <c r="BA149" s="388"/>
      <c r="BB149" s="388"/>
      <c r="BC149" s="388"/>
      <c r="BD149" s="388"/>
      <c r="BE149" s="388">
        <f t="shared" si="215"/>
        <v>0</v>
      </c>
      <c r="BF149" s="388"/>
      <c r="BG149" s="18"/>
      <c r="BH149" s="388"/>
    </row>
    <row r="150" spans="1:60">
      <c r="A150" s="10" t="s">
        <v>79</v>
      </c>
      <c r="B150" s="13">
        <f t="shared" ref="B150:AK150" si="217">B151+B152</f>
        <v>152</v>
      </c>
      <c r="C150" s="13">
        <f t="shared" si="217"/>
        <v>152</v>
      </c>
      <c r="D150" s="13">
        <f t="shared" si="217"/>
        <v>11364</v>
      </c>
      <c r="E150" s="13">
        <f t="shared" si="217"/>
        <v>11516</v>
      </c>
      <c r="F150" s="13">
        <f t="shared" si="217"/>
        <v>3127</v>
      </c>
      <c r="G150" s="13">
        <f t="shared" si="217"/>
        <v>14643</v>
      </c>
      <c r="H150" s="13">
        <f t="shared" si="217"/>
        <v>32</v>
      </c>
      <c r="I150" s="13">
        <f t="shared" si="217"/>
        <v>14675</v>
      </c>
      <c r="J150" s="13">
        <f t="shared" si="217"/>
        <v>64</v>
      </c>
      <c r="K150" s="13">
        <f t="shared" si="217"/>
        <v>14739</v>
      </c>
      <c r="L150" s="13">
        <f t="shared" si="217"/>
        <v>32</v>
      </c>
      <c r="M150" s="13">
        <f t="shared" si="217"/>
        <v>14771</v>
      </c>
      <c r="N150" s="13">
        <f t="shared" si="217"/>
        <v>62</v>
      </c>
      <c r="O150" s="13">
        <f t="shared" si="217"/>
        <v>499984</v>
      </c>
      <c r="P150" s="13">
        <f t="shared" si="217"/>
        <v>514611</v>
      </c>
      <c r="Q150" s="13">
        <f t="shared" si="217"/>
        <v>56</v>
      </c>
      <c r="R150" s="13">
        <f t="shared" si="217"/>
        <v>514667</v>
      </c>
      <c r="S150" s="13">
        <f t="shared" si="217"/>
        <v>8535</v>
      </c>
      <c r="T150" s="13">
        <f t="shared" si="217"/>
        <v>523202</v>
      </c>
      <c r="U150" s="13">
        <f t="shared" si="217"/>
        <v>24</v>
      </c>
      <c r="V150" s="13">
        <f t="shared" si="217"/>
        <v>523226</v>
      </c>
      <c r="W150" s="13">
        <f t="shared" si="217"/>
        <v>24</v>
      </c>
      <c r="X150" s="13">
        <f t="shared" si="217"/>
        <v>523250</v>
      </c>
      <c r="Y150" s="13">
        <f t="shared" si="217"/>
        <v>48</v>
      </c>
      <c r="Z150" s="13">
        <f t="shared" si="217"/>
        <v>523298</v>
      </c>
      <c r="AA150" s="13">
        <f t="shared" si="217"/>
        <v>23</v>
      </c>
      <c r="AB150" s="13">
        <f t="shared" si="217"/>
        <v>523321</v>
      </c>
      <c r="AC150" s="13">
        <f t="shared" si="217"/>
        <v>23</v>
      </c>
      <c r="AD150" s="13">
        <f t="shared" si="217"/>
        <v>523344</v>
      </c>
      <c r="AE150" s="13">
        <f t="shared" si="217"/>
        <v>73</v>
      </c>
      <c r="AF150" s="13">
        <f t="shared" si="217"/>
        <v>523417</v>
      </c>
      <c r="AG150" s="13">
        <f t="shared" si="217"/>
        <v>23</v>
      </c>
      <c r="AH150" s="13">
        <f t="shared" si="217"/>
        <v>523440</v>
      </c>
      <c r="AI150" s="13">
        <f t="shared" si="217"/>
        <v>534657</v>
      </c>
      <c r="AJ150" s="13">
        <f t="shared" si="217"/>
        <v>34</v>
      </c>
      <c r="AK150" s="13">
        <f t="shared" si="217"/>
        <v>534691</v>
      </c>
      <c r="AL150" s="14" t="s">
        <v>18</v>
      </c>
      <c r="AM150" s="388"/>
      <c r="AN150" s="388"/>
      <c r="AO150" s="388"/>
      <c r="AP150" s="388"/>
      <c r="AQ150" s="388"/>
      <c r="AR150" s="388"/>
      <c r="AS150" s="388"/>
      <c r="AT150" s="388"/>
      <c r="AU150" s="388">
        <f t="shared" ref="AU150:AU152" si="218">SUM(AS150:AT150)</f>
        <v>0</v>
      </c>
      <c r="AV150" s="388"/>
      <c r="AW150" s="388"/>
      <c r="AX150" s="388"/>
      <c r="AY150" s="388"/>
      <c r="AZ150" s="388"/>
      <c r="BA150" s="388"/>
      <c r="BB150" s="388"/>
      <c r="BC150" s="388">
        <f t="shared" ref="BC150:BC152" si="219">SUM(BA150:BB150)</f>
        <v>0</v>
      </c>
      <c r="BD150" s="388"/>
      <c r="BE150" s="388">
        <f t="shared" si="215"/>
        <v>0</v>
      </c>
      <c r="BF150" s="388"/>
      <c r="BG150" s="18"/>
      <c r="BH150" s="388"/>
    </row>
    <row r="151" spans="1:60">
      <c r="A151" s="12" t="s">
        <v>93</v>
      </c>
      <c r="B151" s="19"/>
      <c r="C151" s="19">
        <f>SUM(B151:B151)</f>
        <v>0</v>
      </c>
      <c r="D151" s="19">
        <v>11364</v>
      </c>
      <c r="E151" s="19">
        <f>SUM(C151:D151)</f>
        <v>11364</v>
      </c>
      <c r="F151" s="19"/>
      <c r="G151" s="19">
        <f>SUM(E151:F151)</f>
        <v>11364</v>
      </c>
      <c r="H151" s="19"/>
      <c r="I151" s="19">
        <f>SUM(G151:H151)</f>
        <v>11364</v>
      </c>
      <c r="J151" s="19"/>
      <c r="K151" s="19">
        <f>SUM(I151:J151)</f>
        <v>11364</v>
      </c>
      <c r="L151" s="19"/>
      <c r="M151" s="19">
        <f>SUM(K151:L151)</f>
        <v>11364</v>
      </c>
      <c r="N151" s="19"/>
      <c r="O151" s="19">
        <f>SUM(M151:N151)</f>
        <v>11364</v>
      </c>
      <c r="P151" s="19"/>
      <c r="Q151" s="19"/>
      <c r="R151" s="19"/>
      <c r="S151" s="19">
        <v>8511</v>
      </c>
      <c r="T151" s="19">
        <f>SUM(R151:S151)</f>
        <v>8511</v>
      </c>
      <c r="U151" s="19"/>
      <c r="V151" s="19">
        <f>SUM(T151:U151)</f>
        <v>8511</v>
      </c>
      <c r="W151" s="19"/>
      <c r="X151" s="19">
        <f>SUM(V151:W151)</f>
        <v>8511</v>
      </c>
      <c r="Y151" s="19"/>
      <c r="Z151" s="19">
        <f>SUM(X151:Y151)</f>
        <v>8511</v>
      </c>
      <c r="AA151" s="19"/>
      <c r="AB151" s="19">
        <f>SUM(Z151:AA151)</f>
        <v>8511</v>
      </c>
      <c r="AC151" s="19"/>
      <c r="AD151" s="19">
        <f>SUM(AB151:AC151)</f>
        <v>8511</v>
      </c>
      <c r="AE151" s="19"/>
      <c r="AF151" s="19">
        <f>SUM(AD151:AE151)</f>
        <v>8511</v>
      </c>
      <c r="AG151" s="19"/>
      <c r="AH151" s="19">
        <f>SUM(AF151:AG151)</f>
        <v>8511</v>
      </c>
      <c r="AI151" s="19"/>
      <c r="AJ151" s="19"/>
      <c r="AK151" s="19"/>
      <c r="AL151" s="10" t="s">
        <v>37</v>
      </c>
      <c r="AM151" s="388">
        <f>6089-6000</f>
        <v>89</v>
      </c>
      <c r="AN151" s="388"/>
      <c r="AO151" s="388">
        <f>SUM(AM151:AN151)</f>
        <v>89</v>
      </c>
      <c r="AP151" s="388">
        <v>100</v>
      </c>
      <c r="AQ151" s="388">
        <f t="shared" ref="AQ151" si="220">SUM(AO151:AP151)</f>
        <v>189</v>
      </c>
      <c r="AR151" s="388"/>
      <c r="AS151" s="388">
        <f t="shared" si="209"/>
        <v>189</v>
      </c>
      <c r="AT151" s="388"/>
      <c r="AU151" s="388">
        <f t="shared" si="218"/>
        <v>189</v>
      </c>
      <c r="AV151" s="388"/>
      <c r="AW151" s="388">
        <f t="shared" ref="AW151" si="221">SUM(AU151:AV151)</f>
        <v>189</v>
      </c>
      <c r="AX151" s="388"/>
      <c r="AY151" s="388">
        <f t="shared" ref="AY151" si="222">SUM(AW151:AX151)</f>
        <v>189</v>
      </c>
      <c r="AZ151" s="388"/>
      <c r="BA151" s="388">
        <f t="shared" ref="BA151" si="223">SUM(AY151:AZ151)</f>
        <v>189</v>
      </c>
      <c r="BB151" s="388">
        <v>500</v>
      </c>
      <c r="BC151" s="388">
        <f t="shared" si="219"/>
        <v>689</v>
      </c>
      <c r="BD151" s="388"/>
      <c r="BE151" s="388">
        <f t="shared" si="215"/>
        <v>689</v>
      </c>
      <c r="BF151" s="388">
        <v>500</v>
      </c>
      <c r="BG151" s="18"/>
      <c r="BH151" s="388">
        <f>SUM(BF151:BG151)</f>
        <v>500</v>
      </c>
    </row>
    <row r="152" spans="1:60">
      <c r="A152" s="25" t="s">
        <v>95</v>
      </c>
      <c r="B152" s="19">
        <v>152</v>
      </c>
      <c r="C152" s="19">
        <f>SUM(B152:B152)</f>
        <v>152</v>
      </c>
      <c r="D152" s="19"/>
      <c r="E152" s="19">
        <f>SUM(C152:D152)</f>
        <v>152</v>
      </c>
      <c r="F152" s="19">
        <v>3127</v>
      </c>
      <c r="G152" s="19">
        <f>SUM(E152:F152)</f>
        <v>3279</v>
      </c>
      <c r="H152" s="19">
        <v>32</v>
      </c>
      <c r="I152" s="19">
        <f>SUM(G152:H152)</f>
        <v>3311</v>
      </c>
      <c r="J152" s="19">
        <v>64</v>
      </c>
      <c r="K152" s="19">
        <f>SUM(I152:J152)</f>
        <v>3375</v>
      </c>
      <c r="L152" s="19">
        <v>32</v>
      </c>
      <c r="M152" s="19">
        <f>SUM(K152:L152)</f>
        <v>3407</v>
      </c>
      <c r="N152" s="19">
        <v>62</v>
      </c>
      <c r="O152" s="19">
        <v>488620</v>
      </c>
      <c r="P152" s="19">
        <v>514611</v>
      </c>
      <c r="Q152" s="19">
        <v>56</v>
      </c>
      <c r="R152" s="19">
        <f>SUM(P152:Q152)</f>
        <v>514667</v>
      </c>
      <c r="S152" s="19">
        <v>24</v>
      </c>
      <c r="T152" s="19">
        <f>SUM(R152:S152)</f>
        <v>514691</v>
      </c>
      <c r="U152" s="19">
        <v>24</v>
      </c>
      <c r="V152" s="19">
        <f>SUM(T152:U152)</f>
        <v>514715</v>
      </c>
      <c r="W152" s="19">
        <v>24</v>
      </c>
      <c r="X152" s="19">
        <f>SUM(V152:W152)</f>
        <v>514739</v>
      </c>
      <c r="Y152" s="19">
        <v>48</v>
      </c>
      <c r="Z152" s="19">
        <f>SUM(X152:Y152)</f>
        <v>514787</v>
      </c>
      <c r="AA152" s="19">
        <v>23</v>
      </c>
      <c r="AB152" s="19">
        <f>SUM(Z152:AA152)</f>
        <v>514810</v>
      </c>
      <c r="AC152" s="19">
        <v>23</v>
      </c>
      <c r="AD152" s="19">
        <f>SUM(AB152:AC152)</f>
        <v>514833</v>
      </c>
      <c r="AE152" s="19">
        <v>73</v>
      </c>
      <c r="AF152" s="19">
        <f>SUM(AD152:AE152)</f>
        <v>514906</v>
      </c>
      <c r="AG152" s="19">
        <v>23</v>
      </c>
      <c r="AH152" s="19">
        <f>SUM(AF152:AG152)</f>
        <v>514929</v>
      </c>
      <c r="AI152" s="19">
        <f>577978-43321</f>
        <v>534657</v>
      </c>
      <c r="AJ152" s="19">
        <v>34</v>
      </c>
      <c r="AK152" s="19">
        <f>SUM(AI152:AJ152)</f>
        <v>534691</v>
      </c>
      <c r="AL152" s="10" t="s">
        <v>39</v>
      </c>
      <c r="AM152" s="388"/>
      <c r="AN152" s="388"/>
      <c r="AO152" s="388"/>
      <c r="AP152" s="388"/>
      <c r="AQ152" s="388"/>
      <c r="AR152" s="388"/>
      <c r="AS152" s="388"/>
      <c r="AT152" s="388"/>
      <c r="AU152" s="388">
        <f t="shared" si="218"/>
        <v>0</v>
      </c>
      <c r="AV152" s="388"/>
      <c r="AW152" s="388"/>
      <c r="AX152" s="388"/>
      <c r="AY152" s="388"/>
      <c r="AZ152" s="388"/>
      <c r="BA152" s="388"/>
      <c r="BB152" s="388"/>
      <c r="BC152" s="388">
        <f t="shared" si="219"/>
        <v>0</v>
      </c>
      <c r="BD152" s="388"/>
      <c r="BE152" s="388">
        <f t="shared" si="215"/>
        <v>0</v>
      </c>
      <c r="BF152" s="388"/>
      <c r="BG152" s="18"/>
      <c r="BH152" s="18"/>
    </row>
    <row r="153" spans="1:60">
      <c r="A153" s="10"/>
      <c r="B153" s="19"/>
      <c r="C153" s="19">
        <f>SUM(B153:B153)</f>
        <v>0</v>
      </c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0" t="s">
        <v>40</v>
      </c>
      <c r="AM153" s="388"/>
      <c r="AN153" s="388"/>
      <c r="AO153" s="388"/>
      <c r="AP153" s="388"/>
      <c r="AQ153" s="388"/>
      <c r="AR153" s="388"/>
      <c r="AS153" s="388"/>
      <c r="AT153" s="388"/>
      <c r="AU153" s="388"/>
      <c r="AV153" s="388"/>
      <c r="AW153" s="388"/>
      <c r="AX153" s="388"/>
      <c r="AY153" s="388"/>
      <c r="AZ153" s="388"/>
      <c r="BA153" s="388"/>
      <c r="BB153" s="388"/>
      <c r="BC153" s="388"/>
      <c r="BD153" s="388"/>
      <c r="BE153" s="388">
        <f t="shared" si="215"/>
        <v>0</v>
      </c>
      <c r="BF153" s="388"/>
      <c r="BG153" s="18"/>
      <c r="BH153" s="18"/>
    </row>
    <row r="154" spans="1:60" ht="15.75">
      <c r="A154" s="32" t="s">
        <v>96</v>
      </c>
      <c r="B154" s="355">
        <f t="shared" ref="B154:O154" si="224">B146+B147+B148+B149+B150+B145</f>
        <v>152</v>
      </c>
      <c r="C154" s="355">
        <f t="shared" si="224"/>
        <v>152</v>
      </c>
      <c r="D154" s="355">
        <f t="shared" si="224"/>
        <v>11364</v>
      </c>
      <c r="E154" s="355">
        <f t="shared" si="224"/>
        <v>11516</v>
      </c>
      <c r="F154" s="355">
        <f t="shared" si="224"/>
        <v>3127</v>
      </c>
      <c r="G154" s="355">
        <f t="shared" si="224"/>
        <v>14643</v>
      </c>
      <c r="H154" s="355">
        <f t="shared" si="224"/>
        <v>32</v>
      </c>
      <c r="I154" s="355">
        <f t="shared" si="224"/>
        <v>14675</v>
      </c>
      <c r="J154" s="355">
        <f t="shared" si="224"/>
        <v>64</v>
      </c>
      <c r="K154" s="355">
        <f t="shared" si="224"/>
        <v>14739</v>
      </c>
      <c r="L154" s="355">
        <f t="shared" si="224"/>
        <v>32</v>
      </c>
      <c r="M154" s="355">
        <f t="shared" si="224"/>
        <v>14771</v>
      </c>
      <c r="N154" s="355">
        <f t="shared" si="224"/>
        <v>62</v>
      </c>
      <c r="O154" s="355">
        <f t="shared" si="224"/>
        <v>501364</v>
      </c>
      <c r="P154" s="355">
        <f>P146+P147+P148+P149+P150+P145</f>
        <v>515686</v>
      </c>
      <c r="Q154" s="355">
        <f t="shared" ref="Q154:V154" si="225">Q146+Q147+Q148+Q149+Q150+Q145</f>
        <v>56</v>
      </c>
      <c r="R154" s="355">
        <f t="shared" si="225"/>
        <v>515742</v>
      </c>
      <c r="S154" s="355">
        <f t="shared" si="225"/>
        <v>8635</v>
      </c>
      <c r="T154" s="355">
        <f t="shared" si="225"/>
        <v>524377</v>
      </c>
      <c r="U154" s="355">
        <f t="shared" si="225"/>
        <v>24</v>
      </c>
      <c r="V154" s="355">
        <f t="shared" si="225"/>
        <v>524401</v>
      </c>
      <c r="W154" s="355">
        <f t="shared" ref="W154:X154" si="226">W146+W147+W148+W149+W150+W145</f>
        <v>24</v>
      </c>
      <c r="X154" s="355">
        <f t="shared" si="226"/>
        <v>524425</v>
      </c>
      <c r="Y154" s="355">
        <f t="shared" ref="Y154:AB154" si="227">Y146+Y147+Y148+Y149+Y150+Y145</f>
        <v>48</v>
      </c>
      <c r="Z154" s="355">
        <f t="shared" si="227"/>
        <v>524473</v>
      </c>
      <c r="AA154" s="355">
        <f t="shared" si="227"/>
        <v>23</v>
      </c>
      <c r="AB154" s="355">
        <f t="shared" si="227"/>
        <v>524496</v>
      </c>
      <c r="AC154" s="355">
        <f t="shared" ref="AC154:AD154" si="228">AC146+AC147+AC148+AC149+AC150+AC145</f>
        <v>23</v>
      </c>
      <c r="AD154" s="355">
        <f t="shared" si="228"/>
        <v>524519</v>
      </c>
      <c r="AE154" s="355">
        <f t="shared" ref="AE154:AF154" si="229">AE146+AE147+AE148+AE149+AE150+AE145</f>
        <v>73</v>
      </c>
      <c r="AF154" s="355">
        <f t="shared" si="229"/>
        <v>524592</v>
      </c>
      <c r="AG154" s="355">
        <f t="shared" ref="AG154:AH154" si="230">AG146+AG147+AG148+AG149+AG150+AG145</f>
        <v>23</v>
      </c>
      <c r="AH154" s="355">
        <f t="shared" si="230"/>
        <v>524615</v>
      </c>
      <c r="AI154" s="355">
        <f t="shared" ref="AI154:AK154" si="231">AI146+AI147+AI148+AI149+AI150+AI145</f>
        <v>535732</v>
      </c>
      <c r="AJ154" s="355">
        <f t="shared" si="231"/>
        <v>34</v>
      </c>
      <c r="AK154" s="355">
        <f t="shared" si="231"/>
        <v>535766</v>
      </c>
      <c r="AL154" s="32" t="s">
        <v>97</v>
      </c>
      <c r="AM154" s="425">
        <f>SUM(AM146:AM153)</f>
        <v>515686</v>
      </c>
      <c r="AN154" s="425">
        <f t="shared" ref="AN154:BA154" si="232">SUM(AN146:AN153)</f>
        <v>56</v>
      </c>
      <c r="AO154" s="425">
        <f t="shared" si="232"/>
        <v>515742</v>
      </c>
      <c r="AP154" s="425">
        <f t="shared" si="232"/>
        <v>8635</v>
      </c>
      <c r="AQ154" s="425">
        <f t="shared" si="232"/>
        <v>524377</v>
      </c>
      <c r="AR154" s="425">
        <f t="shared" si="232"/>
        <v>24</v>
      </c>
      <c r="AS154" s="425">
        <f t="shared" si="232"/>
        <v>524401</v>
      </c>
      <c r="AT154" s="425">
        <f t="shared" si="232"/>
        <v>24</v>
      </c>
      <c r="AU154" s="425">
        <f t="shared" si="232"/>
        <v>524425</v>
      </c>
      <c r="AV154" s="425">
        <f t="shared" si="232"/>
        <v>48</v>
      </c>
      <c r="AW154" s="425">
        <f t="shared" si="232"/>
        <v>524473</v>
      </c>
      <c r="AX154" s="425">
        <f t="shared" si="232"/>
        <v>23</v>
      </c>
      <c r="AY154" s="425">
        <f t="shared" si="232"/>
        <v>524496</v>
      </c>
      <c r="AZ154" s="425">
        <f t="shared" si="232"/>
        <v>23</v>
      </c>
      <c r="BA154" s="425">
        <f t="shared" si="232"/>
        <v>524519</v>
      </c>
      <c r="BB154" s="425">
        <f t="shared" ref="BB154:BC154" si="233">SUM(BB146:BB153)</f>
        <v>73</v>
      </c>
      <c r="BC154" s="425">
        <f t="shared" si="233"/>
        <v>524592</v>
      </c>
      <c r="BD154" s="425">
        <f t="shared" ref="BD154:BE154" si="234">SUM(BD146:BD153)</f>
        <v>23</v>
      </c>
      <c r="BE154" s="425">
        <f t="shared" si="234"/>
        <v>524615</v>
      </c>
      <c r="BF154" s="425">
        <f t="shared" ref="BF154:BH154" si="235">SUM(BF146:BF153)</f>
        <v>535732</v>
      </c>
      <c r="BG154" s="425">
        <f t="shared" si="235"/>
        <v>34</v>
      </c>
      <c r="BH154" s="425">
        <f t="shared" si="235"/>
        <v>535766</v>
      </c>
    </row>
    <row r="155" spans="1:60" s="37" customFormat="1" ht="15.75">
      <c r="A155" s="34" t="s">
        <v>88</v>
      </c>
      <c r="B155" s="35">
        <f t="shared" ref="B155:G155" si="236">B146+B150</f>
        <v>152</v>
      </c>
      <c r="C155" s="35">
        <f t="shared" si="236"/>
        <v>152</v>
      </c>
      <c r="D155" s="35">
        <f t="shared" si="236"/>
        <v>11364</v>
      </c>
      <c r="E155" s="35">
        <f t="shared" si="236"/>
        <v>11516</v>
      </c>
      <c r="F155" s="35">
        <f t="shared" si="236"/>
        <v>3127</v>
      </c>
      <c r="G155" s="35">
        <f t="shared" si="236"/>
        <v>14643</v>
      </c>
      <c r="H155" s="35">
        <f t="shared" ref="H155:V155" si="237">H146+H150+H145</f>
        <v>32</v>
      </c>
      <c r="I155" s="35">
        <f t="shared" si="237"/>
        <v>14675</v>
      </c>
      <c r="J155" s="35">
        <f t="shared" si="237"/>
        <v>64</v>
      </c>
      <c r="K155" s="35">
        <f t="shared" si="237"/>
        <v>14739</v>
      </c>
      <c r="L155" s="35">
        <f t="shared" si="237"/>
        <v>32</v>
      </c>
      <c r="M155" s="35">
        <f t="shared" si="237"/>
        <v>14771</v>
      </c>
      <c r="N155" s="35">
        <f t="shared" si="237"/>
        <v>62</v>
      </c>
      <c r="O155" s="35">
        <f t="shared" si="237"/>
        <v>501364</v>
      </c>
      <c r="P155" s="35">
        <f t="shared" si="237"/>
        <v>515686</v>
      </c>
      <c r="Q155" s="35">
        <f t="shared" si="237"/>
        <v>56</v>
      </c>
      <c r="R155" s="35">
        <f t="shared" si="237"/>
        <v>515742</v>
      </c>
      <c r="S155" s="35">
        <f t="shared" si="237"/>
        <v>8535</v>
      </c>
      <c r="T155" s="35">
        <f t="shared" si="237"/>
        <v>524277</v>
      </c>
      <c r="U155" s="35">
        <f t="shared" si="237"/>
        <v>24</v>
      </c>
      <c r="V155" s="35">
        <f t="shared" si="237"/>
        <v>524301</v>
      </c>
      <c r="W155" s="35">
        <f t="shared" ref="W155:X155" si="238">W146+W150+W145</f>
        <v>24</v>
      </c>
      <c r="X155" s="35">
        <f t="shared" si="238"/>
        <v>524325</v>
      </c>
      <c r="Y155" s="35">
        <f t="shared" ref="Y155:AB155" si="239">Y146+Y150+Y145</f>
        <v>48</v>
      </c>
      <c r="Z155" s="35">
        <f t="shared" si="239"/>
        <v>524373</v>
      </c>
      <c r="AA155" s="35">
        <f t="shared" si="239"/>
        <v>23</v>
      </c>
      <c r="AB155" s="35">
        <f t="shared" si="239"/>
        <v>524396</v>
      </c>
      <c r="AC155" s="35">
        <f t="shared" ref="AC155:AD155" si="240">AC146+AC150+AC145</f>
        <v>23</v>
      </c>
      <c r="AD155" s="35">
        <f t="shared" si="240"/>
        <v>524419</v>
      </c>
      <c r="AE155" s="35">
        <f t="shared" ref="AE155:AF155" si="241">AE146+AE150+AE145</f>
        <v>73</v>
      </c>
      <c r="AF155" s="35">
        <f t="shared" si="241"/>
        <v>524492</v>
      </c>
      <c r="AG155" s="35">
        <f t="shared" ref="AG155:AH155" si="242">AG146+AG150+AG145</f>
        <v>23</v>
      </c>
      <c r="AH155" s="35">
        <f t="shared" si="242"/>
        <v>524515</v>
      </c>
      <c r="AI155" s="35">
        <f t="shared" ref="AI155:AK155" si="243">AI146+AI150+AI145</f>
        <v>535732</v>
      </c>
      <c r="AJ155" s="35">
        <f t="shared" si="243"/>
        <v>34</v>
      </c>
      <c r="AK155" s="35">
        <f t="shared" si="243"/>
        <v>535766</v>
      </c>
      <c r="AL155" s="34" t="s">
        <v>89</v>
      </c>
      <c r="AM155" s="426">
        <f>AM146+AM147+AM148+AM150</f>
        <v>515597</v>
      </c>
      <c r="AN155" s="426">
        <f t="shared" ref="AN155:BE155" si="244">AN146+AN147+AN148+AN150</f>
        <v>56</v>
      </c>
      <c r="AO155" s="426">
        <f t="shared" si="244"/>
        <v>515653</v>
      </c>
      <c r="AP155" s="426">
        <f t="shared" si="244"/>
        <v>8535</v>
      </c>
      <c r="AQ155" s="426">
        <f t="shared" si="244"/>
        <v>524188</v>
      </c>
      <c r="AR155" s="426">
        <f t="shared" si="244"/>
        <v>24</v>
      </c>
      <c r="AS155" s="426">
        <f t="shared" si="244"/>
        <v>524212</v>
      </c>
      <c r="AT155" s="426">
        <f t="shared" si="244"/>
        <v>24</v>
      </c>
      <c r="AU155" s="426">
        <f t="shared" si="244"/>
        <v>524236</v>
      </c>
      <c r="AV155" s="426">
        <f t="shared" si="244"/>
        <v>48</v>
      </c>
      <c r="AW155" s="426">
        <f t="shared" si="244"/>
        <v>524284</v>
      </c>
      <c r="AX155" s="426">
        <f t="shared" si="244"/>
        <v>23</v>
      </c>
      <c r="AY155" s="426">
        <f t="shared" si="244"/>
        <v>524307</v>
      </c>
      <c r="AZ155" s="426">
        <f t="shared" si="244"/>
        <v>23</v>
      </c>
      <c r="BA155" s="426">
        <f t="shared" si="244"/>
        <v>524330</v>
      </c>
      <c r="BB155" s="426">
        <f t="shared" si="244"/>
        <v>-427</v>
      </c>
      <c r="BC155" s="426">
        <f t="shared" si="244"/>
        <v>523903</v>
      </c>
      <c r="BD155" s="426">
        <f t="shared" si="244"/>
        <v>23</v>
      </c>
      <c r="BE155" s="426">
        <f t="shared" si="244"/>
        <v>523926</v>
      </c>
      <c r="BF155" s="426">
        <f t="shared" ref="BF155:BH155" si="245">BF146+BF147+BF148+BF150</f>
        <v>535232</v>
      </c>
      <c r="BG155" s="426">
        <f t="shared" si="245"/>
        <v>34</v>
      </c>
      <c r="BH155" s="426">
        <f t="shared" si="245"/>
        <v>535266</v>
      </c>
    </row>
    <row r="156" spans="1:60" s="37" customFormat="1" ht="15.75">
      <c r="A156" s="34" t="s">
        <v>90</v>
      </c>
      <c r="B156" s="35">
        <f t="shared" ref="B156:O156" si="246">B147+B149</f>
        <v>0</v>
      </c>
      <c r="C156" s="35">
        <f t="shared" si="246"/>
        <v>0</v>
      </c>
      <c r="D156" s="35">
        <f t="shared" si="246"/>
        <v>0</v>
      </c>
      <c r="E156" s="35">
        <f t="shared" si="246"/>
        <v>0</v>
      </c>
      <c r="F156" s="35">
        <f t="shared" si="246"/>
        <v>0</v>
      </c>
      <c r="G156" s="35">
        <f t="shared" si="246"/>
        <v>0</v>
      </c>
      <c r="H156" s="35">
        <f t="shared" si="246"/>
        <v>0</v>
      </c>
      <c r="I156" s="35">
        <f t="shared" si="246"/>
        <v>0</v>
      </c>
      <c r="J156" s="35">
        <f t="shared" si="246"/>
        <v>0</v>
      </c>
      <c r="K156" s="35">
        <f t="shared" si="246"/>
        <v>0</v>
      </c>
      <c r="L156" s="35">
        <f t="shared" si="246"/>
        <v>0</v>
      </c>
      <c r="M156" s="35">
        <f t="shared" si="246"/>
        <v>0</v>
      </c>
      <c r="N156" s="35">
        <f t="shared" si="246"/>
        <v>0</v>
      </c>
      <c r="O156" s="35">
        <f t="shared" si="246"/>
        <v>0</v>
      </c>
      <c r="P156" s="35">
        <f>P147+P149</f>
        <v>0</v>
      </c>
      <c r="Q156" s="35">
        <f t="shared" ref="Q156:V156" si="247">Q147+Q149</f>
        <v>0</v>
      </c>
      <c r="R156" s="35">
        <f t="shared" si="247"/>
        <v>0</v>
      </c>
      <c r="S156" s="35">
        <f t="shared" si="247"/>
        <v>100</v>
      </c>
      <c r="T156" s="35">
        <f t="shared" si="247"/>
        <v>100</v>
      </c>
      <c r="U156" s="35">
        <f t="shared" si="247"/>
        <v>0</v>
      </c>
      <c r="V156" s="35">
        <f t="shared" si="247"/>
        <v>100</v>
      </c>
      <c r="W156" s="35">
        <f t="shared" ref="W156:X156" si="248">W147+W149</f>
        <v>0</v>
      </c>
      <c r="X156" s="35">
        <f t="shared" si="248"/>
        <v>100</v>
      </c>
      <c r="Y156" s="35">
        <f t="shared" ref="Y156:AB156" si="249">Y147+Y149</f>
        <v>0</v>
      </c>
      <c r="Z156" s="35">
        <f t="shared" si="249"/>
        <v>100</v>
      </c>
      <c r="AA156" s="35">
        <f t="shared" si="249"/>
        <v>0</v>
      </c>
      <c r="AB156" s="35">
        <f t="shared" si="249"/>
        <v>100</v>
      </c>
      <c r="AC156" s="35">
        <f t="shared" ref="AC156:AD156" si="250">AC147+AC149</f>
        <v>0</v>
      </c>
      <c r="AD156" s="35">
        <f t="shared" si="250"/>
        <v>100</v>
      </c>
      <c r="AE156" s="35">
        <f t="shared" ref="AE156:AF156" si="251">AE147+AE149</f>
        <v>0</v>
      </c>
      <c r="AF156" s="35">
        <f t="shared" si="251"/>
        <v>100</v>
      </c>
      <c r="AG156" s="35">
        <f t="shared" ref="AG156:AH156" si="252">AG147+AG149</f>
        <v>0</v>
      </c>
      <c r="AH156" s="35">
        <f t="shared" si="252"/>
        <v>100</v>
      </c>
      <c r="AI156" s="35">
        <f t="shared" ref="AI156:AK156" si="253">AI147+AI149</f>
        <v>0</v>
      </c>
      <c r="AJ156" s="35">
        <f t="shared" si="253"/>
        <v>0</v>
      </c>
      <c r="AK156" s="35">
        <f t="shared" si="253"/>
        <v>0</v>
      </c>
      <c r="AL156" s="34" t="s">
        <v>91</v>
      </c>
      <c r="AM156" s="426">
        <f>AM151+AM152+AM153</f>
        <v>89</v>
      </c>
      <c r="AN156" s="426">
        <f t="shared" ref="AN156:BE156" si="254">AN151+AN152+AN153</f>
        <v>0</v>
      </c>
      <c r="AO156" s="426">
        <f t="shared" si="254"/>
        <v>89</v>
      </c>
      <c r="AP156" s="426">
        <f t="shared" si="254"/>
        <v>100</v>
      </c>
      <c r="AQ156" s="426">
        <f t="shared" si="254"/>
        <v>189</v>
      </c>
      <c r="AR156" s="426">
        <f t="shared" si="254"/>
        <v>0</v>
      </c>
      <c r="AS156" s="426">
        <f t="shared" si="254"/>
        <v>189</v>
      </c>
      <c r="AT156" s="426">
        <f t="shared" si="254"/>
        <v>0</v>
      </c>
      <c r="AU156" s="426">
        <f t="shared" si="254"/>
        <v>189</v>
      </c>
      <c r="AV156" s="426">
        <f t="shared" si="254"/>
        <v>0</v>
      </c>
      <c r="AW156" s="426">
        <f t="shared" si="254"/>
        <v>189</v>
      </c>
      <c r="AX156" s="426">
        <f t="shared" si="254"/>
        <v>0</v>
      </c>
      <c r="AY156" s="426">
        <f t="shared" si="254"/>
        <v>189</v>
      </c>
      <c r="AZ156" s="426">
        <f t="shared" si="254"/>
        <v>0</v>
      </c>
      <c r="BA156" s="426">
        <f t="shared" si="254"/>
        <v>189</v>
      </c>
      <c r="BB156" s="426">
        <f t="shared" si="254"/>
        <v>500</v>
      </c>
      <c r="BC156" s="426">
        <f t="shared" si="254"/>
        <v>689</v>
      </c>
      <c r="BD156" s="426">
        <f t="shared" si="254"/>
        <v>0</v>
      </c>
      <c r="BE156" s="426">
        <f t="shared" si="254"/>
        <v>689</v>
      </c>
      <c r="BF156" s="426">
        <f t="shared" ref="BF156:BH156" si="255">BF151+BF152+BF153</f>
        <v>500</v>
      </c>
      <c r="BG156" s="426">
        <f t="shared" si="255"/>
        <v>0</v>
      </c>
      <c r="BH156" s="426">
        <f t="shared" si="255"/>
        <v>500</v>
      </c>
    </row>
    <row r="157" spans="1:60" ht="15.75" customHeight="1">
      <c r="A157" s="709" t="s">
        <v>99</v>
      </c>
      <c r="B157" s="710"/>
      <c r="C157" s="710"/>
      <c r="D157" s="710"/>
      <c r="E157" s="710"/>
      <c r="F157" s="710"/>
      <c r="G157" s="710"/>
      <c r="H157" s="710"/>
      <c r="I157" s="710"/>
      <c r="J157" s="710"/>
      <c r="K157" s="710"/>
      <c r="L157" s="710"/>
      <c r="M157" s="710"/>
      <c r="N157" s="710"/>
      <c r="O157" s="710"/>
      <c r="P157" s="710"/>
      <c r="Q157" s="710"/>
      <c r="R157" s="710"/>
      <c r="S157" s="710"/>
      <c r="T157" s="710"/>
      <c r="U157" s="710"/>
      <c r="V157" s="710"/>
      <c r="W157" s="710"/>
      <c r="X157" s="710"/>
      <c r="Y157" s="710"/>
      <c r="Z157" s="710"/>
      <c r="AA157" s="710"/>
      <c r="AB157" s="710"/>
      <c r="AC157" s="710"/>
      <c r="AD157" s="710"/>
      <c r="AE157" s="710"/>
      <c r="AF157" s="710"/>
      <c r="AG157" s="710"/>
      <c r="AH157" s="710"/>
      <c r="AI157" s="710"/>
      <c r="AJ157" s="710"/>
      <c r="AK157" s="710"/>
      <c r="AL157" s="710"/>
      <c r="AM157" s="710"/>
      <c r="AN157" s="710"/>
      <c r="AO157" s="710"/>
      <c r="AP157" s="710"/>
      <c r="AQ157" s="710"/>
      <c r="AR157" s="710"/>
      <c r="AS157" s="710"/>
      <c r="AT157" s="710"/>
      <c r="AU157" s="710"/>
      <c r="AV157" s="710"/>
      <c r="AW157" s="710"/>
      <c r="AX157" s="710"/>
      <c r="AY157" s="710"/>
      <c r="AZ157" s="710"/>
      <c r="BA157" s="710"/>
      <c r="BB157" s="710"/>
      <c r="BC157" s="710"/>
      <c r="BD157" s="710"/>
      <c r="BE157" s="710"/>
      <c r="BF157" s="710"/>
      <c r="BG157" s="710"/>
      <c r="BH157" s="711"/>
    </row>
    <row r="158" spans="1:60">
      <c r="A158" s="10" t="s">
        <v>9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1" t="s">
        <v>10</v>
      </c>
      <c r="AM158" s="388">
        <v>283677</v>
      </c>
      <c r="AN158" s="388">
        <v>8444</v>
      </c>
      <c r="AO158" s="388">
        <f>SUM(AM158:AN158)</f>
        <v>292121</v>
      </c>
      <c r="AP158" s="388">
        <v>2993</v>
      </c>
      <c r="AQ158" s="388">
        <f>SUM(AO158:AP158)</f>
        <v>295114</v>
      </c>
      <c r="AR158" s="388">
        <v>2946</v>
      </c>
      <c r="AS158" s="388">
        <f>SUM(AQ158:AR158)</f>
        <v>298060</v>
      </c>
      <c r="AT158" s="388">
        <v>2833</v>
      </c>
      <c r="AU158" s="388">
        <f>SUM(AS158:AT158)</f>
        <v>300893</v>
      </c>
      <c r="AV158" s="388">
        <v>5571</v>
      </c>
      <c r="AW158" s="388">
        <f>SUM(AU158:AV158)</f>
        <v>306464</v>
      </c>
      <c r="AX158" s="388">
        <v>2744</v>
      </c>
      <c r="AY158" s="388">
        <f>SUM(AW158:AX158)</f>
        <v>309208</v>
      </c>
      <c r="AZ158" s="388">
        <v>2604</v>
      </c>
      <c r="BA158" s="388">
        <f>SUM(AY158:AZ158)</f>
        <v>311812</v>
      </c>
      <c r="BB158" s="388">
        <v>-13569</v>
      </c>
      <c r="BC158" s="388">
        <f>SUM(BA158:BB158)</f>
        <v>298243</v>
      </c>
      <c r="BD158" s="388">
        <v>2289</v>
      </c>
      <c r="BE158" s="388">
        <f>SUM(BC158:BD158)</f>
        <v>300532</v>
      </c>
      <c r="BF158" s="388">
        <v>302344</v>
      </c>
      <c r="BG158" s="18">
        <v>8826</v>
      </c>
      <c r="BH158" s="388">
        <f>SUM(BF158:BG158)</f>
        <v>311170</v>
      </c>
    </row>
    <row r="159" spans="1:60" ht="15.75">
      <c r="A159" s="10" t="s">
        <v>59</v>
      </c>
      <c r="B159" s="19"/>
      <c r="C159" s="19">
        <f>SUM(B159:B159)</f>
        <v>0</v>
      </c>
      <c r="D159" s="19"/>
      <c r="E159" s="19">
        <f t="shared" ref="E159:E165" si="256">SUM(C159:D159)</f>
        <v>0</v>
      </c>
      <c r="F159" s="19"/>
      <c r="G159" s="19">
        <f>SUM(E159:F159)</f>
        <v>0</v>
      </c>
      <c r="H159" s="19"/>
      <c r="I159" s="19">
        <f>SUM(G159:H159)</f>
        <v>0</v>
      </c>
      <c r="J159" s="19"/>
      <c r="K159" s="19">
        <f>SUM(I159:J159)</f>
        <v>0</v>
      </c>
      <c r="L159" s="19"/>
      <c r="M159" s="19">
        <f>SUM(K159:L159)</f>
        <v>0</v>
      </c>
      <c r="N159" s="19"/>
      <c r="O159" s="19">
        <f>SUM(M159:N159)</f>
        <v>0</v>
      </c>
      <c r="P159" s="19">
        <v>7435</v>
      </c>
      <c r="Q159" s="355"/>
      <c r="R159" s="19">
        <f>SUM(P159:Q159)</f>
        <v>7435</v>
      </c>
      <c r="S159" s="19"/>
      <c r="T159" s="19">
        <f>SUM(R159:S159)</f>
        <v>7435</v>
      </c>
      <c r="U159" s="19"/>
      <c r="V159" s="19">
        <f>SUM(T159:U159)</f>
        <v>7435</v>
      </c>
      <c r="W159" s="19"/>
      <c r="X159" s="19">
        <f>SUM(V159:W159)</f>
        <v>7435</v>
      </c>
      <c r="Y159" s="19"/>
      <c r="Z159" s="19">
        <f>SUM(X159:Y159)</f>
        <v>7435</v>
      </c>
      <c r="AA159" s="19"/>
      <c r="AB159" s="19">
        <f>SUM(Z159:AA159)</f>
        <v>7435</v>
      </c>
      <c r="AC159" s="19"/>
      <c r="AD159" s="19">
        <f>SUM(AB159:AC159)</f>
        <v>7435</v>
      </c>
      <c r="AE159" s="19"/>
      <c r="AF159" s="19">
        <f>SUM(AD159:AE159)</f>
        <v>7435</v>
      </c>
      <c r="AG159" s="19"/>
      <c r="AH159" s="19">
        <f>SUM(AF159:AG159)</f>
        <v>7435</v>
      </c>
      <c r="AI159" s="19">
        <v>6000</v>
      </c>
      <c r="AJ159" s="19"/>
      <c r="AK159" s="19">
        <f>SUM(AI159:AJ159)</f>
        <v>6000</v>
      </c>
      <c r="AL159" s="10" t="s">
        <v>12</v>
      </c>
      <c r="AM159" s="388">
        <v>57320</v>
      </c>
      <c r="AN159" s="388">
        <v>1648</v>
      </c>
      <c r="AO159" s="388">
        <f t="shared" ref="AO159:AO160" si="257">SUM(AM159:AN159)</f>
        <v>58968</v>
      </c>
      <c r="AP159" s="388">
        <v>1020</v>
      </c>
      <c r="AQ159" s="388">
        <f t="shared" ref="AQ159:AQ160" si="258">SUM(AO159:AP159)</f>
        <v>59988</v>
      </c>
      <c r="AR159" s="388">
        <v>574</v>
      </c>
      <c r="AS159" s="388">
        <f t="shared" ref="AS159:AS163" si="259">SUM(AQ159:AR159)</f>
        <v>60562</v>
      </c>
      <c r="AT159" s="388">
        <v>553</v>
      </c>
      <c r="AU159" s="388">
        <f t="shared" ref="AU159:AU160" si="260">SUM(AS159:AT159)</f>
        <v>61115</v>
      </c>
      <c r="AV159" s="388">
        <v>1024</v>
      </c>
      <c r="AW159" s="388">
        <f t="shared" ref="AW159:AW160" si="261">SUM(AU159:AV159)</f>
        <v>62139</v>
      </c>
      <c r="AX159" s="388">
        <v>479</v>
      </c>
      <c r="AY159" s="388">
        <f t="shared" ref="AY159:AY160" si="262">SUM(AW159:AX159)</f>
        <v>62618</v>
      </c>
      <c r="AZ159" s="388">
        <v>457</v>
      </c>
      <c r="BA159" s="388">
        <f t="shared" ref="BA159:BA160" si="263">SUM(AY159:AZ159)</f>
        <v>63075</v>
      </c>
      <c r="BB159" s="388">
        <v>-1574</v>
      </c>
      <c r="BC159" s="388">
        <f t="shared" ref="BC159:BC160" si="264">SUM(BA159:BB159)</f>
        <v>61501</v>
      </c>
      <c r="BD159" s="388">
        <v>403</v>
      </c>
      <c r="BE159" s="388">
        <f t="shared" ref="BE159:BE165" si="265">SUM(BC159:BD159)</f>
        <v>61904</v>
      </c>
      <c r="BF159" s="388">
        <v>57516</v>
      </c>
      <c r="BG159" s="18">
        <v>1543</v>
      </c>
      <c r="BH159" s="388">
        <f t="shared" ref="BH159:BH160" si="266">SUM(BF159:BG159)</f>
        <v>59059</v>
      </c>
    </row>
    <row r="160" spans="1:60" ht="15.75">
      <c r="A160" s="10" t="s">
        <v>67</v>
      </c>
      <c r="B160" s="19"/>
      <c r="C160" s="19">
        <f>SUM(B160:B160)</f>
        <v>0</v>
      </c>
      <c r="D160" s="19"/>
      <c r="E160" s="19"/>
      <c r="F160" s="19"/>
      <c r="G160" s="19"/>
      <c r="H160" s="19"/>
      <c r="I160" s="19"/>
      <c r="J160" s="19"/>
      <c r="K160" s="19"/>
      <c r="L160" s="19"/>
      <c r="M160" s="19">
        <f>SUM(K160:L160)</f>
        <v>0</v>
      </c>
      <c r="N160" s="19"/>
      <c r="O160" s="19"/>
      <c r="P160" s="19"/>
      <c r="Q160" s="35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4" t="s">
        <v>14</v>
      </c>
      <c r="AM160" s="388">
        <v>15650</v>
      </c>
      <c r="AN160" s="388"/>
      <c r="AO160" s="388">
        <f t="shared" si="257"/>
        <v>15650</v>
      </c>
      <c r="AP160" s="388">
        <v>26480</v>
      </c>
      <c r="AQ160" s="388">
        <f t="shared" si="258"/>
        <v>42130</v>
      </c>
      <c r="AR160" s="388"/>
      <c r="AS160" s="388">
        <f t="shared" si="259"/>
        <v>42130</v>
      </c>
      <c r="AT160" s="388"/>
      <c r="AU160" s="388">
        <f t="shared" si="260"/>
        <v>42130</v>
      </c>
      <c r="AV160" s="388"/>
      <c r="AW160" s="388">
        <f t="shared" si="261"/>
        <v>42130</v>
      </c>
      <c r="AX160" s="388"/>
      <c r="AY160" s="388">
        <f t="shared" si="262"/>
        <v>42130</v>
      </c>
      <c r="AZ160" s="388"/>
      <c r="BA160" s="388">
        <f t="shared" si="263"/>
        <v>42130</v>
      </c>
      <c r="BB160" s="388">
        <v>18050</v>
      </c>
      <c r="BC160" s="388">
        <f t="shared" si="264"/>
        <v>60180</v>
      </c>
      <c r="BD160" s="388"/>
      <c r="BE160" s="388">
        <f t="shared" si="265"/>
        <v>60180</v>
      </c>
      <c r="BF160" s="388">
        <v>25468</v>
      </c>
      <c r="BG160" s="18"/>
      <c r="BH160" s="388">
        <f t="shared" si="266"/>
        <v>25468</v>
      </c>
    </row>
    <row r="161" spans="1:60" ht="15.75">
      <c r="A161" s="10" t="s">
        <v>70</v>
      </c>
      <c r="B161" s="19"/>
      <c r="C161" s="19">
        <f>SUM(B161:B161)</f>
        <v>0</v>
      </c>
      <c r="D161" s="19"/>
      <c r="E161" s="19"/>
      <c r="F161" s="19"/>
      <c r="G161" s="19"/>
      <c r="H161" s="19"/>
      <c r="I161" s="19"/>
      <c r="J161" s="19"/>
      <c r="K161" s="19"/>
      <c r="L161" s="19"/>
      <c r="M161" s="19">
        <f>SUM(K161:L161)</f>
        <v>0</v>
      </c>
      <c r="N161" s="19"/>
      <c r="O161" s="19"/>
      <c r="P161" s="19"/>
      <c r="Q161" s="35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5" t="s">
        <v>16</v>
      </c>
      <c r="AM161" s="388"/>
      <c r="AN161" s="388"/>
      <c r="AO161" s="388"/>
      <c r="AP161" s="388"/>
      <c r="AQ161" s="388"/>
      <c r="AR161" s="388"/>
      <c r="AS161" s="388"/>
      <c r="AT161" s="388"/>
      <c r="AU161" s="388"/>
      <c r="AV161" s="388"/>
      <c r="AW161" s="388"/>
      <c r="AX161" s="388"/>
      <c r="AY161" s="388"/>
      <c r="AZ161" s="388"/>
      <c r="BA161" s="388"/>
      <c r="BB161" s="388"/>
      <c r="BC161" s="388"/>
      <c r="BD161" s="388"/>
      <c r="BE161" s="388">
        <f t="shared" si="265"/>
        <v>0</v>
      </c>
      <c r="BF161" s="388"/>
      <c r="BG161" s="18"/>
      <c r="BH161" s="388"/>
    </row>
    <row r="162" spans="1:60">
      <c r="A162" s="10" t="s">
        <v>72</v>
      </c>
      <c r="B162" s="19"/>
      <c r="C162" s="19">
        <f>SUM(B162:B162)</f>
        <v>0</v>
      </c>
      <c r="D162" s="19"/>
      <c r="E162" s="19"/>
      <c r="F162" s="19"/>
      <c r="G162" s="19"/>
      <c r="H162" s="19"/>
      <c r="I162" s="19"/>
      <c r="J162" s="19"/>
      <c r="K162" s="19"/>
      <c r="L162" s="19">
        <v>308</v>
      </c>
      <c r="M162" s="19">
        <f>SUM(K162:L162)</f>
        <v>308</v>
      </c>
      <c r="N162" s="19"/>
      <c r="O162" s="19">
        <f>SUM(M162:N162)</f>
        <v>308</v>
      </c>
      <c r="P162" s="19"/>
      <c r="Q162" s="19"/>
      <c r="R162" s="19"/>
      <c r="S162" s="19">
        <v>187</v>
      </c>
      <c r="T162" s="19">
        <f>SUM(R162:S162)</f>
        <v>187</v>
      </c>
      <c r="U162" s="19"/>
      <c r="V162" s="19">
        <f>SUM(T162:U162)</f>
        <v>187</v>
      </c>
      <c r="W162" s="19"/>
      <c r="X162" s="19">
        <f>SUM(V162:W162)</f>
        <v>187</v>
      </c>
      <c r="Y162" s="19"/>
      <c r="Z162" s="19">
        <f>SUM(X162:Y162)</f>
        <v>187</v>
      </c>
      <c r="AA162" s="19"/>
      <c r="AB162" s="19">
        <f>SUM(Z162:AA162)</f>
        <v>187</v>
      </c>
      <c r="AC162" s="19"/>
      <c r="AD162" s="19">
        <f>SUM(AB162:AC162)</f>
        <v>187</v>
      </c>
      <c r="AE162" s="19"/>
      <c r="AF162" s="19">
        <f>SUM(AD162:AE162)</f>
        <v>187</v>
      </c>
      <c r="AG162" s="19"/>
      <c r="AH162" s="19">
        <f>SUM(AF162:AG162)</f>
        <v>187</v>
      </c>
      <c r="AI162" s="19"/>
      <c r="AJ162" s="19"/>
      <c r="AK162" s="19"/>
      <c r="AL162" s="14" t="s">
        <v>18</v>
      </c>
      <c r="AM162" s="388"/>
      <c r="AN162" s="388"/>
      <c r="AO162" s="388"/>
      <c r="AP162" s="388"/>
      <c r="AQ162" s="388"/>
      <c r="AR162" s="388"/>
      <c r="AS162" s="388"/>
      <c r="AT162" s="388"/>
      <c r="AU162" s="388">
        <f t="shared" ref="AU162:AU166" si="267">SUM(AS162:AT162)</f>
        <v>0</v>
      </c>
      <c r="AV162" s="388"/>
      <c r="AW162" s="388"/>
      <c r="AX162" s="388"/>
      <c r="AY162" s="388"/>
      <c r="AZ162" s="388"/>
      <c r="BA162" s="388"/>
      <c r="BB162" s="388"/>
      <c r="BC162" s="388"/>
      <c r="BD162" s="388"/>
      <c r="BE162" s="388">
        <f t="shared" si="265"/>
        <v>0</v>
      </c>
      <c r="BF162" s="388"/>
      <c r="BG162" s="18"/>
      <c r="BH162" s="388"/>
    </row>
    <row r="163" spans="1:60">
      <c r="A163" s="10" t="s">
        <v>79</v>
      </c>
      <c r="B163" s="13">
        <f t="shared" ref="B163:AK163" si="268">B164+B165</f>
        <v>10174</v>
      </c>
      <c r="C163" s="13">
        <f t="shared" si="268"/>
        <v>10174</v>
      </c>
      <c r="D163" s="13">
        <f t="shared" si="268"/>
        <v>23335</v>
      </c>
      <c r="E163" s="13">
        <f t="shared" si="268"/>
        <v>33509</v>
      </c>
      <c r="F163" s="13">
        <f t="shared" si="268"/>
        <v>5985</v>
      </c>
      <c r="G163" s="13">
        <f t="shared" si="268"/>
        <v>39494</v>
      </c>
      <c r="H163" s="13">
        <f t="shared" si="268"/>
        <v>3109</v>
      </c>
      <c r="I163" s="13">
        <f t="shared" si="268"/>
        <v>42603</v>
      </c>
      <c r="J163" s="13">
        <f t="shared" si="268"/>
        <v>12370</v>
      </c>
      <c r="K163" s="13">
        <f t="shared" si="268"/>
        <v>54973</v>
      </c>
      <c r="L163" s="13">
        <f t="shared" si="268"/>
        <v>3060</v>
      </c>
      <c r="M163" s="13">
        <f t="shared" si="268"/>
        <v>58033</v>
      </c>
      <c r="N163" s="13">
        <f t="shared" si="268"/>
        <v>5612</v>
      </c>
      <c r="O163" s="13">
        <f t="shared" si="268"/>
        <v>383894</v>
      </c>
      <c r="P163" s="13">
        <f t="shared" si="268"/>
        <v>353212</v>
      </c>
      <c r="Q163" s="13">
        <f t="shared" si="268"/>
        <v>10092</v>
      </c>
      <c r="R163" s="13">
        <f t="shared" si="268"/>
        <v>363304</v>
      </c>
      <c r="S163" s="13">
        <f t="shared" si="268"/>
        <v>35487</v>
      </c>
      <c r="T163" s="13">
        <f t="shared" si="268"/>
        <v>398791</v>
      </c>
      <c r="U163" s="13">
        <f t="shared" si="268"/>
        <v>3520</v>
      </c>
      <c r="V163" s="13">
        <f t="shared" si="268"/>
        <v>402311</v>
      </c>
      <c r="W163" s="13">
        <f t="shared" si="268"/>
        <v>3386</v>
      </c>
      <c r="X163" s="13">
        <f t="shared" si="268"/>
        <v>405697</v>
      </c>
      <c r="Y163" s="13">
        <f t="shared" si="268"/>
        <v>6595</v>
      </c>
      <c r="Z163" s="13">
        <f t="shared" si="268"/>
        <v>412292</v>
      </c>
      <c r="AA163" s="13">
        <f t="shared" si="268"/>
        <v>3223</v>
      </c>
      <c r="AB163" s="13">
        <f t="shared" si="268"/>
        <v>415515</v>
      </c>
      <c r="AC163" s="13">
        <f t="shared" si="268"/>
        <v>3061</v>
      </c>
      <c r="AD163" s="13">
        <f t="shared" si="268"/>
        <v>418576</v>
      </c>
      <c r="AE163" s="13">
        <f t="shared" si="268"/>
        <v>2907</v>
      </c>
      <c r="AF163" s="13">
        <f t="shared" si="268"/>
        <v>421483</v>
      </c>
      <c r="AG163" s="13">
        <f t="shared" si="268"/>
        <v>2692</v>
      </c>
      <c r="AH163" s="13">
        <f t="shared" si="268"/>
        <v>424175</v>
      </c>
      <c r="AI163" s="13">
        <f t="shared" si="268"/>
        <v>381848</v>
      </c>
      <c r="AJ163" s="13">
        <f t="shared" si="268"/>
        <v>10369</v>
      </c>
      <c r="AK163" s="13">
        <f t="shared" si="268"/>
        <v>392217</v>
      </c>
      <c r="AL163" s="10" t="s">
        <v>37</v>
      </c>
      <c r="AM163" s="388">
        <v>4000</v>
      </c>
      <c r="AN163" s="388"/>
      <c r="AO163" s="388">
        <f>SUM(AM163:AN163)</f>
        <v>4000</v>
      </c>
      <c r="AP163" s="388">
        <v>5181</v>
      </c>
      <c r="AQ163" s="388">
        <f t="shared" ref="AQ163" si="269">SUM(AO163:AP163)</f>
        <v>9181</v>
      </c>
      <c r="AR163" s="388"/>
      <c r="AS163" s="388">
        <f t="shared" si="259"/>
        <v>9181</v>
      </c>
      <c r="AT163" s="388">
        <v>-3805</v>
      </c>
      <c r="AU163" s="388">
        <f t="shared" si="267"/>
        <v>5376</v>
      </c>
      <c r="AV163" s="388">
        <v>-204</v>
      </c>
      <c r="AW163" s="388">
        <f t="shared" ref="AW163:AW164" si="270">SUM(AU163:AV163)</f>
        <v>5172</v>
      </c>
      <c r="AX163" s="388"/>
      <c r="AY163" s="388">
        <f t="shared" ref="AY163:AY164" si="271">SUM(AW163:AX163)</f>
        <v>5172</v>
      </c>
      <c r="AZ163" s="388"/>
      <c r="BA163" s="388">
        <f t="shared" ref="BA163:BA164" si="272">SUM(AY163:AZ163)</f>
        <v>5172</v>
      </c>
      <c r="BB163" s="388"/>
      <c r="BC163" s="388">
        <f t="shared" ref="BC163:BC164" si="273">SUM(BA163:BB163)</f>
        <v>5172</v>
      </c>
      <c r="BD163" s="388"/>
      <c r="BE163" s="388">
        <f t="shared" si="265"/>
        <v>5172</v>
      </c>
      <c r="BF163" s="388">
        <v>2520</v>
      </c>
      <c r="BG163" s="18"/>
      <c r="BH163" s="388">
        <f>SUM(BF163:BG163)</f>
        <v>2520</v>
      </c>
    </row>
    <row r="164" spans="1:60">
      <c r="A164" s="12" t="s">
        <v>93</v>
      </c>
      <c r="B164" s="19"/>
      <c r="C164" s="19">
        <f>SUM(B164:B164)</f>
        <v>0</v>
      </c>
      <c r="D164" s="19">
        <v>23335</v>
      </c>
      <c r="E164" s="19">
        <f t="shared" si="256"/>
        <v>23335</v>
      </c>
      <c r="F164" s="19"/>
      <c r="G164" s="19">
        <f>SUM(E164:F164)</f>
        <v>23335</v>
      </c>
      <c r="H164" s="19"/>
      <c r="I164" s="19">
        <f>SUM(G164:H164)</f>
        <v>23335</v>
      </c>
      <c r="J164" s="19"/>
      <c r="K164" s="19">
        <f>SUM(I164:J164)</f>
        <v>23335</v>
      </c>
      <c r="L164" s="19"/>
      <c r="M164" s="19">
        <f>SUM(K164:L164)</f>
        <v>23335</v>
      </c>
      <c r="N164" s="19"/>
      <c r="O164" s="19">
        <f>SUM(M164:N164)</f>
        <v>23335</v>
      </c>
      <c r="P164" s="19"/>
      <c r="Q164" s="19"/>
      <c r="R164" s="19">
        <v>0</v>
      </c>
      <c r="S164" s="19">
        <v>31910</v>
      </c>
      <c r="T164" s="19">
        <f>SUM(R164:S164)</f>
        <v>31910</v>
      </c>
      <c r="U164" s="19"/>
      <c r="V164" s="19">
        <f>SUM(T164:U164)</f>
        <v>31910</v>
      </c>
      <c r="W164" s="19"/>
      <c r="X164" s="19">
        <f>SUM(V164:W164)</f>
        <v>31910</v>
      </c>
      <c r="Y164" s="19"/>
      <c r="Z164" s="19">
        <f>SUM(X164:Y164)</f>
        <v>31910</v>
      </c>
      <c r="AA164" s="19"/>
      <c r="AB164" s="19">
        <f>SUM(Z164:AA164)</f>
        <v>31910</v>
      </c>
      <c r="AC164" s="19"/>
      <c r="AD164" s="19">
        <f>SUM(AB164:AC164)</f>
        <v>31910</v>
      </c>
      <c r="AE164" s="19"/>
      <c r="AF164" s="19">
        <f>SUM(AD164:AE164)</f>
        <v>31910</v>
      </c>
      <c r="AG164" s="19"/>
      <c r="AH164" s="19">
        <f>SUM(AF164:AG164)</f>
        <v>31910</v>
      </c>
      <c r="AI164" s="19"/>
      <c r="AJ164" s="19"/>
      <c r="AK164" s="19"/>
      <c r="AL164" s="10" t="s">
        <v>39</v>
      </c>
      <c r="AM164" s="388"/>
      <c r="AN164" s="388"/>
      <c r="AO164" s="388"/>
      <c r="AP164" s="388"/>
      <c r="AQ164" s="388"/>
      <c r="AR164" s="388"/>
      <c r="AS164" s="388"/>
      <c r="AT164" s="388">
        <v>3550</v>
      </c>
      <c r="AU164" s="388">
        <f t="shared" si="267"/>
        <v>3550</v>
      </c>
      <c r="AV164" s="388">
        <v>204</v>
      </c>
      <c r="AW164" s="388">
        <f t="shared" si="270"/>
        <v>3754</v>
      </c>
      <c r="AX164" s="388"/>
      <c r="AY164" s="388">
        <f t="shared" si="271"/>
        <v>3754</v>
      </c>
      <c r="AZ164" s="388"/>
      <c r="BA164" s="388">
        <f t="shared" si="272"/>
        <v>3754</v>
      </c>
      <c r="BB164" s="388"/>
      <c r="BC164" s="388">
        <f t="shared" si="273"/>
        <v>3754</v>
      </c>
      <c r="BD164" s="388"/>
      <c r="BE164" s="388">
        <f t="shared" si="265"/>
        <v>3754</v>
      </c>
      <c r="BF164" s="388">
        <v>0</v>
      </c>
      <c r="BG164" s="18"/>
      <c r="BH164" s="18"/>
    </row>
    <row r="165" spans="1:60">
      <c r="A165" s="25" t="s">
        <v>95</v>
      </c>
      <c r="B165" s="19">
        <v>10174</v>
      </c>
      <c r="C165" s="19">
        <f>SUM(B165:B165)</f>
        <v>10174</v>
      </c>
      <c r="D165" s="19"/>
      <c r="E165" s="19">
        <f t="shared" si="256"/>
        <v>10174</v>
      </c>
      <c r="F165" s="19">
        <v>5985</v>
      </c>
      <c r="G165" s="19">
        <f>SUM(E165:F165)</f>
        <v>16159</v>
      </c>
      <c r="H165" s="19">
        <v>3109</v>
      </c>
      <c r="I165" s="19">
        <f>SUM(G165:H165)</f>
        <v>19268</v>
      </c>
      <c r="J165" s="19">
        <v>12370</v>
      </c>
      <c r="K165" s="19">
        <f>SUM(I165:J165)</f>
        <v>31638</v>
      </c>
      <c r="L165" s="19">
        <v>3060</v>
      </c>
      <c r="M165" s="19">
        <f>SUM(K165:L165)</f>
        <v>34698</v>
      </c>
      <c r="N165" s="19">
        <v>5612</v>
      </c>
      <c r="O165" s="19">
        <v>360559</v>
      </c>
      <c r="P165" s="19">
        <v>353212</v>
      </c>
      <c r="Q165" s="19">
        <v>10092</v>
      </c>
      <c r="R165" s="19">
        <f>SUM(P165:Q165)</f>
        <v>363304</v>
      </c>
      <c r="S165" s="19">
        <v>3577</v>
      </c>
      <c r="T165" s="19">
        <f>SUM(R165:S165)</f>
        <v>366881</v>
      </c>
      <c r="U165" s="19">
        <v>3520</v>
      </c>
      <c r="V165" s="19">
        <f t="shared" ref="V165" si="274">SUM(T165:U165)</f>
        <v>370401</v>
      </c>
      <c r="W165" s="19">
        <v>3386</v>
      </c>
      <c r="X165" s="19">
        <f>SUM(V165:W165)</f>
        <v>373787</v>
      </c>
      <c r="Y165" s="19">
        <v>6595</v>
      </c>
      <c r="Z165" s="19">
        <f>SUM(X165:Y165)</f>
        <v>380382</v>
      </c>
      <c r="AA165" s="19">
        <v>3223</v>
      </c>
      <c r="AB165" s="19">
        <f>SUM(Z165:AA165)</f>
        <v>383605</v>
      </c>
      <c r="AC165" s="19">
        <v>3061</v>
      </c>
      <c r="AD165" s="19">
        <f>SUM(AB165:AC165)</f>
        <v>386666</v>
      </c>
      <c r="AE165" s="19">
        <v>2907</v>
      </c>
      <c r="AF165" s="19">
        <f>SUM(AD165:AE165)</f>
        <v>389573</v>
      </c>
      <c r="AG165" s="19">
        <v>2692</v>
      </c>
      <c r="AH165" s="19">
        <f t="shared" ref="AH165" si="275">SUM(AF165:AG165)</f>
        <v>392265</v>
      </c>
      <c r="AI165" s="19">
        <f>450884-69036</f>
        <v>381848</v>
      </c>
      <c r="AJ165" s="19">
        <v>10369</v>
      </c>
      <c r="AK165" s="19">
        <f>SUM(AI165:AJ165)</f>
        <v>392217</v>
      </c>
      <c r="AL165" s="10" t="s">
        <v>40</v>
      </c>
      <c r="AM165" s="388"/>
      <c r="AN165" s="388"/>
      <c r="AO165" s="388"/>
      <c r="AP165" s="388"/>
      <c r="AQ165" s="388"/>
      <c r="AR165" s="388"/>
      <c r="AS165" s="388"/>
      <c r="AT165" s="388">
        <v>255</v>
      </c>
      <c r="AU165" s="388">
        <f t="shared" si="267"/>
        <v>255</v>
      </c>
      <c r="AV165" s="388"/>
      <c r="AW165" s="388">
        <f>SUM(AU165:AV165)</f>
        <v>255</v>
      </c>
      <c r="AX165" s="388"/>
      <c r="AY165" s="388">
        <f>SUM(AW165:AX165)</f>
        <v>255</v>
      </c>
      <c r="AZ165" s="388"/>
      <c r="BA165" s="388">
        <f>SUM(AY165:AZ165)</f>
        <v>255</v>
      </c>
      <c r="BB165" s="388"/>
      <c r="BC165" s="388">
        <f>SUM(BA165:BB165)</f>
        <v>255</v>
      </c>
      <c r="BD165" s="388"/>
      <c r="BE165" s="388">
        <f t="shared" si="265"/>
        <v>255</v>
      </c>
      <c r="BF165" s="388"/>
      <c r="BG165" s="18"/>
      <c r="BH165" s="18"/>
    </row>
    <row r="166" spans="1:60" ht="15.75">
      <c r="A166" s="32" t="s">
        <v>96</v>
      </c>
      <c r="B166" s="355">
        <f t="shared" ref="B166:K166" si="276">B159+B160+B161+B162+B163+B158</f>
        <v>10174</v>
      </c>
      <c r="C166" s="355">
        <f t="shared" si="276"/>
        <v>10174</v>
      </c>
      <c r="D166" s="355">
        <f t="shared" si="276"/>
        <v>23335</v>
      </c>
      <c r="E166" s="355">
        <f t="shared" si="276"/>
        <v>33509</v>
      </c>
      <c r="F166" s="355">
        <f t="shared" si="276"/>
        <v>5985</v>
      </c>
      <c r="G166" s="355">
        <f t="shared" si="276"/>
        <v>39494</v>
      </c>
      <c r="H166" s="355">
        <f t="shared" si="276"/>
        <v>3109</v>
      </c>
      <c r="I166" s="355">
        <f t="shared" si="276"/>
        <v>42603</v>
      </c>
      <c r="J166" s="355">
        <f t="shared" si="276"/>
        <v>12370</v>
      </c>
      <c r="K166" s="355">
        <f t="shared" si="276"/>
        <v>54973</v>
      </c>
      <c r="L166" s="355">
        <f>L159+L160+L161+L162+L163+L158</f>
        <v>3368</v>
      </c>
      <c r="M166" s="355">
        <f>M159+M160+M161+M162+M163+M158</f>
        <v>58341</v>
      </c>
      <c r="N166" s="355">
        <f>N159+N160+N161+N162+N163+N158</f>
        <v>5612</v>
      </c>
      <c r="O166" s="355">
        <f>O159+O160+O161+O162+O163+O158</f>
        <v>384202</v>
      </c>
      <c r="P166" s="355">
        <f>P159+P160+P161+P162+P163+P158</f>
        <v>360647</v>
      </c>
      <c r="Q166" s="355">
        <f t="shared" ref="Q166:R166" si="277">Q159+Q160+Q161+Q162+Q163+Q158</f>
        <v>10092</v>
      </c>
      <c r="R166" s="355">
        <f t="shared" si="277"/>
        <v>370739</v>
      </c>
      <c r="S166" s="355">
        <f t="shared" ref="S166:V166" si="278">S159+S160+S161+S162+S163+S158</f>
        <v>35674</v>
      </c>
      <c r="T166" s="355">
        <f t="shared" si="278"/>
        <v>406413</v>
      </c>
      <c r="U166" s="355">
        <f t="shared" si="278"/>
        <v>3520</v>
      </c>
      <c r="V166" s="355">
        <f t="shared" si="278"/>
        <v>409933</v>
      </c>
      <c r="W166" s="355">
        <f t="shared" ref="W166:X166" si="279">W159+W160+W161+W162+W163+W158</f>
        <v>3386</v>
      </c>
      <c r="X166" s="355">
        <f t="shared" si="279"/>
        <v>413319</v>
      </c>
      <c r="Y166" s="355">
        <f t="shared" ref="Y166:AD166" si="280">Y159+Y160+Y161+Y162+Y163+Y158</f>
        <v>6595</v>
      </c>
      <c r="Z166" s="355">
        <f t="shared" si="280"/>
        <v>419914</v>
      </c>
      <c r="AA166" s="355">
        <f t="shared" si="280"/>
        <v>3223</v>
      </c>
      <c r="AB166" s="355">
        <f t="shared" si="280"/>
        <v>423137</v>
      </c>
      <c r="AC166" s="355">
        <f t="shared" si="280"/>
        <v>3061</v>
      </c>
      <c r="AD166" s="355">
        <f t="shared" si="280"/>
        <v>426198</v>
      </c>
      <c r="AE166" s="355">
        <f t="shared" ref="AE166" si="281">AE159+AE160+AE161+AE162+AE163+AE158</f>
        <v>2907</v>
      </c>
      <c r="AF166" s="355">
        <f t="shared" ref="AF166:AH166" si="282">AF159+AF160+AF161+AF162+AF163+AF158</f>
        <v>429105</v>
      </c>
      <c r="AG166" s="355">
        <f t="shared" si="282"/>
        <v>2692</v>
      </c>
      <c r="AH166" s="355">
        <f t="shared" si="282"/>
        <v>431797</v>
      </c>
      <c r="AI166" s="355">
        <f t="shared" ref="AI166:AJ166" si="283">AI159+AI160+AI161+AI162+AI163+AI158</f>
        <v>387848</v>
      </c>
      <c r="AJ166" s="355">
        <f t="shared" si="283"/>
        <v>10369</v>
      </c>
      <c r="AK166" s="355">
        <f t="shared" ref="AK166" si="284">AK159+AK160+AK161+AK162+AK163+AK158</f>
        <v>398217</v>
      </c>
      <c r="AL166" s="32" t="s">
        <v>97</v>
      </c>
      <c r="AM166" s="425">
        <f>SUM(AM158:AM165)</f>
        <v>360647</v>
      </c>
      <c r="AN166" s="425">
        <f t="shared" ref="AN166:AT166" si="285">SUM(AN158:AN165)</f>
        <v>10092</v>
      </c>
      <c r="AO166" s="425">
        <f t="shared" si="285"/>
        <v>370739</v>
      </c>
      <c r="AP166" s="425">
        <f t="shared" si="285"/>
        <v>35674</v>
      </c>
      <c r="AQ166" s="425">
        <f t="shared" si="285"/>
        <v>406413</v>
      </c>
      <c r="AR166" s="425">
        <f t="shared" si="285"/>
        <v>3520</v>
      </c>
      <c r="AS166" s="425">
        <f t="shared" si="285"/>
        <v>409933</v>
      </c>
      <c r="AT166" s="425">
        <f t="shared" si="285"/>
        <v>3386</v>
      </c>
      <c r="AU166" s="388">
        <f t="shared" si="267"/>
        <v>413319</v>
      </c>
      <c r="AV166" s="425">
        <f t="shared" ref="AV166:BA166" si="286">SUM(AV158:AV165)</f>
        <v>6595</v>
      </c>
      <c r="AW166" s="425">
        <f t="shared" si="286"/>
        <v>419914</v>
      </c>
      <c r="AX166" s="425">
        <f t="shared" si="286"/>
        <v>3223</v>
      </c>
      <c r="AY166" s="425">
        <f t="shared" si="286"/>
        <v>423137</v>
      </c>
      <c r="AZ166" s="425">
        <f t="shared" si="286"/>
        <v>3061</v>
      </c>
      <c r="BA166" s="425">
        <f t="shared" si="286"/>
        <v>426198</v>
      </c>
      <c r="BB166" s="425">
        <f t="shared" ref="BB166:BC166" si="287">SUM(BB158:BB165)</f>
        <v>2907</v>
      </c>
      <c r="BC166" s="425">
        <f t="shared" si="287"/>
        <v>429105</v>
      </c>
      <c r="BD166" s="425">
        <f t="shared" ref="BD166:BE166" si="288">SUM(BD158:BD165)</f>
        <v>2692</v>
      </c>
      <c r="BE166" s="425">
        <f t="shared" si="288"/>
        <v>431797</v>
      </c>
      <c r="BF166" s="425">
        <f t="shared" ref="BF166:BH166" si="289">SUM(BF158:BF165)</f>
        <v>387848</v>
      </c>
      <c r="BG166" s="425">
        <f t="shared" si="289"/>
        <v>10369</v>
      </c>
      <c r="BH166" s="425">
        <f t="shared" si="289"/>
        <v>398217</v>
      </c>
    </row>
    <row r="167" spans="1:60" ht="15.75">
      <c r="A167" s="34" t="s">
        <v>88</v>
      </c>
      <c r="B167" s="35">
        <f t="shared" ref="B167:K167" si="290">B159+B163</f>
        <v>10174</v>
      </c>
      <c r="C167" s="35">
        <f t="shared" si="290"/>
        <v>10174</v>
      </c>
      <c r="D167" s="35">
        <f t="shared" si="290"/>
        <v>23335</v>
      </c>
      <c r="E167" s="35">
        <f t="shared" si="290"/>
        <v>33509</v>
      </c>
      <c r="F167" s="35">
        <f t="shared" si="290"/>
        <v>5985</v>
      </c>
      <c r="G167" s="35">
        <f t="shared" si="290"/>
        <v>39494</v>
      </c>
      <c r="H167" s="35">
        <f t="shared" si="290"/>
        <v>3109</v>
      </c>
      <c r="I167" s="35">
        <f t="shared" si="290"/>
        <v>42603</v>
      </c>
      <c r="J167" s="35">
        <f t="shared" si="290"/>
        <v>12370</v>
      </c>
      <c r="K167" s="35">
        <f t="shared" si="290"/>
        <v>54973</v>
      </c>
      <c r="L167" s="35">
        <f>L159+L163</f>
        <v>3060</v>
      </c>
      <c r="M167" s="35">
        <f>M159+M163</f>
        <v>58033</v>
      </c>
      <c r="N167" s="35">
        <f>N159+N163</f>
        <v>5612</v>
      </c>
      <c r="O167" s="35">
        <f>O159+O163</f>
        <v>383894</v>
      </c>
      <c r="P167" s="35">
        <f>P159+P163</f>
        <v>360647</v>
      </c>
      <c r="Q167" s="35">
        <f t="shared" ref="Q167:R167" si="291">Q159+Q163</f>
        <v>10092</v>
      </c>
      <c r="R167" s="35">
        <f t="shared" si="291"/>
        <v>370739</v>
      </c>
      <c r="S167" s="35">
        <f t="shared" ref="S167:V167" si="292">S159+S163</f>
        <v>35487</v>
      </c>
      <c r="T167" s="35">
        <f t="shared" si="292"/>
        <v>406226</v>
      </c>
      <c r="U167" s="35">
        <f t="shared" si="292"/>
        <v>3520</v>
      </c>
      <c r="V167" s="35">
        <f t="shared" si="292"/>
        <v>409746</v>
      </c>
      <c r="W167" s="35">
        <f t="shared" ref="W167:X167" si="293">W159+W163</f>
        <v>3386</v>
      </c>
      <c r="X167" s="35">
        <f t="shared" si="293"/>
        <v>413132</v>
      </c>
      <c r="Y167" s="35">
        <f t="shared" ref="Y167:AD167" si="294">Y159+Y163</f>
        <v>6595</v>
      </c>
      <c r="Z167" s="35">
        <f t="shared" si="294"/>
        <v>419727</v>
      </c>
      <c r="AA167" s="35">
        <f t="shared" si="294"/>
        <v>3223</v>
      </c>
      <c r="AB167" s="35">
        <f t="shared" si="294"/>
        <v>422950</v>
      </c>
      <c r="AC167" s="35">
        <f t="shared" si="294"/>
        <v>3061</v>
      </c>
      <c r="AD167" s="35">
        <f t="shared" si="294"/>
        <v>426011</v>
      </c>
      <c r="AE167" s="35">
        <f t="shared" ref="AE167" si="295">AE159+AE163</f>
        <v>2907</v>
      </c>
      <c r="AF167" s="35">
        <f t="shared" ref="AF167:AH167" si="296">AF159+AF163</f>
        <v>428918</v>
      </c>
      <c r="AG167" s="35">
        <f t="shared" si="296"/>
        <v>2692</v>
      </c>
      <c r="AH167" s="35">
        <f t="shared" si="296"/>
        <v>431610</v>
      </c>
      <c r="AI167" s="35">
        <f t="shared" ref="AI167:AJ167" si="297">AI159+AI163</f>
        <v>387848</v>
      </c>
      <c r="AJ167" s="35">
        <f t="shared" si="297"/>
        <v>10369</v>
      </c>
      <c r="AK167" s="35">
        <f t="shared" ref="AK167" si="298">AK159+AK163</f>
        <v>398217</v>
      </c>
      <c r="AL167" s="34" t="s">
        <v>89</v>
      </c>
      <c r="AM167" s="426">
        <f t="shared" ref="AM167" si="299">AM158+AM159+AM160+AM161+AM162</f>
        <v>356647</v>
      </c>
      <c r="AN167" s="426">
        <f t="shared" ref="AN167:BE167" si="300">AN158+AN159+AN160+AN162</f>
        <v>10092</v>
      </c>
      <c r="AO167" s="426">
        <f t="shared" si="300"/>
        <v>366739</v>
      </c>
      <c r="AP167" s="426">
        <f t="shared" si="300"/>
        <v>30493</v>
      </c>
      <c r="AQ167" s="426">
        <f t="shared" si="300"/>
        <v>397232</v>
      </c>
      <c r="AR167" s="426">
        <f t="shared" si="300"/>
        <v>3520</v>
      </c>
      <c r="AS167" s="426">
        <f t="shared" si="300"/>
        <v>400752</v>
      </c>
      <c r="AT167" s="426">
        <f t="shared" si="300"/>
        <v>3386</v>
      </c>
      <c r="AU167" s="426">
        <f t="shared" si="300"/>
        <v>404138</v>
      </c>
      <c r="AV167" s="426">
        <f t="shared" si="300"/>
        <v>6595</v>
      </c>
      <c r="AW167" s="426">
        <f t="shared" si="300"/>
        <v>410733</v>
      </c>
      <c r="AX167" s="426">
        <f t="shared" si="300"/>
        <v>3223</v>
      </c>
      <c r="AY167" s="426">
        <f t="shared" si="300"/>
        <v>413956</v>
      </c>
      <c r="AZ167" s="426">
        <f t="shared" si="300"/>
        <v>3061</v>
      </c>
      <c r="BA167" s="426">
        <f t="shared" si="300"/>
        <v>417017</v>
      </c>
      <c r="BB167" s="426">
        <f t="shared" si="300"/>
        <v>2907</v>
      </c>
      <c r="BC167" s="426">
        <f t="shared" si="300"/>
        <v>419924</v>
      </c>
      <c r="BD167" s="426">
        <f t="shared" si="300"/>
        <v>2692</v>
      </c>
      <c r="BE167" s="426">
        <f t="shared" si="300"/>
        <v>422616</v>
      </c>
      <c r="BF167" s="426">
        <f t="shared" ref="BF167:BH167" si="301">BF158+BF159+BF160+BF162</f>
        <v>385328</v>
      </c>
      <c r="BG167" s="426">
        <f t="shared" si="301"/>
        <v>10369</v>
      </c>
      <c r="BH167" s="426">
        <f t="shared" si="301"/>
        <v>395697</v>
      </c>
    </row>
    <row r="168" spans="1:60" ht="15.75">
      <c r="A168" s="34" t="s">
        <v>90</v>
      </c>
      <c r="B168" s="35">
        <f t="shared" ref="B168:K168" si="302">B160+B162</f>
        <v>0</v>
      </c>
      <c r="C168" s="35">
        <f t="shared" si="302"/>
        <v>0</v>
      </c>
      <c r="D168" s="35">
        <f t="shared" si="302"/>
        <v>0</v>
      </c>
      <c r="E168" s="35">
        <f t="shared" si="302"/>
        <v>0</v>
      </c>
      <c r="F168" s="35">
        <f t="shared" si="302"/>
        <v>0</v>
      </c>
      <c r="G168" s="35">
        <f t="shared" si="302"/>
        <v>0</v>
      </c>
      <c r="H168" s="35">
        <f t="shared" si="302"/>
        <v>0</v>
      </c>
      <c r="I168" s="35">
        <f t="shared" si="302"/>
        <v>0</v>
      </c>
      <c r="J168" s="35">
        <f t="shared" si="302"/>
        <v>0</v>
      </c>
      <c r="K168" s="35">
        <f t="shared" si="302"/>
        <v>0</v>
      </c>
      <c r="L168" s="35">
        <f>L160+L162</f>
        <v>308</v>
      </c>
      <c r="M168" s="35">
        <f>M160+M162</f>
        <v>308</v>
      </c>
      <c r="N168" s="35">
        <f>N160+N162</f>
        <v>0</v>
      </c>
      <c r="O168" s="35">
        <f>O160+O162</f>
        <v>308</v>
      </c>
      <c r="P168" s="35">
        <f>P160+P162</f>
        <v>0</v>
      </c>
      <c r="Q168" s="35">
        <f t="shared" ref="Q168:R168" si="303">Q160+Q162</f>
        <v>0</v>
      </c>
      <c r="R168" s="35">
        <f t="shared" si="303"/>
        <v>0</v>
      </c>
      <c r="S168" s="35">
        <f t="shared" ref="S168:V168" si="304">S160+S162</f>
        <v>187</v>
      </c>
      <c r="T168" s="35">
        <f t="shared" si="304"/>
        <v>187</v>
      </c>
      <c r="U168" s="35">
        <f t="shared" si="304"/>
        <v>0</v>
      </c>
      <c r="V168" s="35">
        <f t="shared" si="304"/>
        <v>187</v>
      </c>
      <c r="W168" s="35">
        <f t="shared" ref="W168:X168" si="305">W160+W162</f>
        <v>0</v>
      </c>
      <c r="X168" s="35">
        <f t="shared" si="305"/>
        <v>187</v>
      </c>
      <c r="Y168" s="35">
        <f t="shared" ref="Y168:AD168" si="306">Y160+Y162</f>
        <v>0</v>
      </c>
      <c r="Z168" s="35">
        <f t="shared" si="306"/>
        <v>187</v>
      </c>
      <c r="AA168" s="35">
        <f t="shared" si="306"/>
        <v>0</v>
      </c>
      <c r="AB168" s="35">
        <f t="shared" si="306"/>
        <v>187</v>
      </c>
      <c r="AC168" s="35">
        <f t="shared" si="306"/>
        <v>0</v>
      </c>
      <c r="AD168" s="35">
        <f t="shared" si="306"/>
        <v>187</v>
      </c>
      <c r="AE168" s="35">
        <f t="shared" ref="AE168" si="307">AE160+AE162</f>
        <v>0</v>
      </c>
      <c r="AF168" s="35">
        <f t="shared" ref="AF168:AH168" si="308">AF160+AF162</f>
        <v>187</v>
      </c>
      <c r="AG168" s="35">
        <f t="shared" si="308"/>
        <v>0</v>
      </c>
      <c r="AH168" s="35">
        <f t="shared" si="308"/>
        <v>187</v>
      </c>
      <c r="AI168" s="35">
        <f t="shared" ref="AI168:AJ168" si="309">AI160+AI162</f>
        <v>0</v>
      </c>
      <c r="AJ168" s="35">
        <f t="shared" si="309"/>
        <v>0</v>
      </c>
      <c r="AK168" s="35">
        <f t="shared" ref="AK168" si="310">AK160+AK162</f>
        <v>0</v>
      </c>
      <c r="AL168" s="34" t="s">
        <v>91</v>
      </c>
      <c r="AM168" s="426">
        <f>AM163+AM164+AM165</f>
        <v>4000</v>
      </c>
      <c r="AN168" s="426">
        <f t="shared" ref="AN168:BE168" si="311">AN163+AN164+AN165</f>
        <v>0</v>
      </c>
      <c r="AO168" s="426">
        <f t="shared" si="311"/>
        <v>4000</v>
      </c>
      <c r="AP168" s="426">
        <f t="shared" si="311"/>
        <v>5181</v>
      </c>
      <c r="AQ168" s="426">
        <f t="shared" si="311"/>
        <v>9181</v>
      </c>
      <c r="AR168" s="426">
        <f t="shared" si="311"/>
        <v>0</v>
      </c>
      <c r="AS168" s="426">
        <f>AS163+AS164+AS165</f>
        <v>9181</v>
      </c>
      <c r="AT168" s="426">
        <f>AT163+AT164+AT165</f>
        <v>0</v>
      </c>
      <c r="AU168" s="426">
        <f t="shared" si="311"/>
        <v>9181</v>
      </c>
      <c r="AV168" s="426">
        <f t="shared" si="311"/>
        <v>0</v>
      </c>
      <c r="AW168" s="426">
        <f t="shared" si="311"/>
        <v>9181</v>
      </c>
      <c r="AX168" s="426">
        <f t="shared" si="311"/>
        <v>0</v>
      </c>
      <c r="AY168" s="426">
        <f t="shared" si="311"/>
        <v>9181</v>
      </c>
      <c r="AZ168" s="426">
        <f t="shared" si="311"/>
        <v>0</v>
      </c>
      <c r="BA168" s="426">
        <f t="shared" si="311"/>
        <v>9181</v>
      </c>
      <c r="BB168" s="426">
        <f t="shared" si="311"/>
        <v>0</v>
      </c>
      <c r="BC168" s="426">
        <f t="shared" si="311"/>
        <v>9181</v>
      </c>
      <c r="BD168" s="426">
        <f t="shared" si="311"/>
        <v>0</v>
      </c>
      <c r="BE168" s="426">
        <f t="shared" si="311"/>
        <v>9181</v>
      </c>
      <c r="BF168" s="426">
        <f t="shared" ref="BF168:BH168" si="312">BF163+BF164+BF165</f>
        <v>2520</v>
      </c>
      <c r="BG168" s="426">
        <f t="shared" si="312"/>
        <v>0</v>
      </c>
      <c r="BH168" s="426">
        <f t="shared" si="312"/>
        <v>2520</v>
      </c>
    </row>
    <row r="169" spans="1:60" ht="15.75" customHeight="1">
      <c r="A169" s="715" t="s">
        <v>100</v>
      </c>
      <c r="B169" s="716"/>
      <c r="C169" s="716"/>
      <c r="D169" s="716"/>
      <c r="E169" s="716"/>
      <c r="F169" s="716"/>
      <c r="G169" s="716"/>
      <c r="H169" s="716"/>
      <c r="I169" s="716"/>
      <c r="J169" s="716"/>
      <c r="K169" s="716"/>
      <c r="L169" s="716"/>
      <c r="M169" s="716"/>
      <c r="N169" s="716"/>
      <c r="O169" s="716"/>
      <c r="P169" s="716"/>
      <c r="Q169" s="716"/>
      <c r="R169" s="716"/>
      <c r="S169" s="716"/>
      <c r="T169" s="716"/>
      <c r="U169" s="716"/>
      <c r="V169" s="716"/>
      <c r="W169" s="716"/>
      <c r="X169" s="716"/>
      <c r="Y169" s="716"/>
      <c r="Z169" s="716"/>
      <c r="AA169" s="716"/>
      <c r="AB169" s="716"/>
      <c r="AC169" s="716"/>
      <c r="AD169" s="716"/>
      <c r="AE169" s="716"/>
      <c r="AF169" s="716"/>
      <c r="AG169" s="716"/>
      <c r="AH169" s="716"/>
      <c r="AI169" s="716"/>
      <c r="AJ169" s="716"/>
      <c r="AK169" s="716"/>
      <c r="AL169" s="716"/>
      <c r="AM169" s="716"/>
      <c r="AN169" s="716"/>
      <c r="AO169" s="716"/>
      <c r="AP169" s="716"/>
      <c r="AQ169" s="716"/>
      <c r="AR169" s="716"/>
      <c r="AS169" s="716"/>
      <c r="AT169" s="716"/>
      <c r="AU169" s="716"/>
      <c r="AV169" s="716"/>
      <c r="AW169" s="716"/>
      <c r="AX169" s="716"/>
      <c r="AY169" s="716"/>
      <c r="AZ169" s="716"/>
      <c r="BA169" s="716"/>
      <c r="BB169" s="716"/>
      <c r="BC169" s="716"/>
      <c r="BD169" s="716"/>
      <c r="BE169" s="716"/>
      <c r="BF169" s="716"/>
      <c r="BG169" s="716"/>
      <c r="BH169" s="717"/>
    </row>
    <row r="170" spans="1:60" ht="15.75" customHeight="1">
      <c r="A170" s="10" t="s">
        <v>9</v>
      </c>
      <c r="B170" s="19"/>
      <c r="C170" s="19"/>
      <c r="D170" s="19">
        <v>5902</v>
      </c>
      <c r="E170" s="19">
        <f>SUM(C170:D170)</f>
        <v>5902</v>
      </c>
      <c r="F170" s="19"/>
      <c r="G170" s="19">
        <f>SUM(E170:F170)</f>
        <v>5902</v>
      </c>
      <c r="H170" s="19"/>
      <c r="I170" s="19">
        <f>SUM(G170:H170)</f>
        <v>5902</v>
      </c>
      <c r="J170" s="19"/>
      <c r="K170" s="19">
        <f>SUM(I170:J170)</f>
        <v>5902</v>
      </c>
      <c r="L170" s="19"/>
      <c r="M170" s="19">
        <f>SUM(K170:L170)</f>
        <v>5902</v>
      </c>
      <c r="N170" s="19"/>
      <c r="O170" s="19">
        <v>6058</v>
      </c>
      <c r="P170" s="19"/>
      <c r="Q170" s="19"/>
      <c r="R170" s="19"/>
      <c r="S170" s="19"/>
      <c r="T170" s="19"/>
      <c r="U170" s="19"/>
      <c r="V170" s="19"/>
      <c r="W170" s="19">
        <v>250</v>
      </c>
      <c r="X170" s="19">
        <f>SUM(V170:W170)</f>
        <v>250</v>
      </c>
      <c r="Y170" s="19">
        <v>270</v>
      </c>
      <c r="Z170" s="19">
        <f>SUM(X170:Y170)</f>
        <v>520</v>
      </c>
      <c r="AA170" s="19"/>
      <c r="AB170" s="19">
        <f>SUM(Z170:AA170)</f>
        <v>520</v>
      </c>
      <c r="AC170" s="19"/>
      <c r="AD170" s="19">
        <f>SUM(AB170:AC170)</f>
        <v>520</v>
      </c>
      <c r="AE170" s="19"/>
      <c r="AF170" s="19">
        <f>SUM(AD170:AE170)</f>
        <v>520</v>
      </c>
      <c r="AG170" s="19">
        <v>326</v>
      </c>
      <c r="AH170" s="19">
        <f>SUM(AF170:AG170)</f>
        <v>846</v>
      </c>
      <c r="AI170" s="19"/>
      <c r="AJ170" s="19">
        <v>200</v>
      </c>
      <c r="AK170" s="19">
        <f>SUM(AI170:AJ170)</f>
        <v>200</v>
      </c>
      <c r="AL170" s="38"/>
      <c r="AM170" s="18"/>
      <c r="AN170" s="18"/>
      <c r="AO170" s="18"/>
      <c r="AP170" s="18"/>
      <c r="AQ170" s="18"/>
      <c r="AR170" s="18"/>
      <c r="AS170" s="18"/>
      <c r="AT170" s="18"/>
      <c r="AU170" s="18"/>
      <c r="AV170" s="18"/>
      <c r="AW170" s="18"/>
      <c r="AX170" s="18"/>
      <c r="AY170" s="18"/>
      <c r="AZ170" s="18"/>
      <c r="BA170" s="18"/>
      <c r="BB170" s="18"/>
      <c r="BC170" s="18"/>
      <c r="BD170" s="18"/>
      <c r="BE170" s="18"/>
      <c r="BF170" s="18"/>
      <c r="BG170" s="18"/>
      <c r="BH170" s="18"/>
    </row>
    <row r="171" spans="1:60" ht="15.75">
      <c r="A171" s="10" t="s">
        <v>59</v>
      </c>
      <c r="B171" s="19"/>
      <c r="C171" s="19">
        <f>SUM(B171:B171)</f>
        <v>0</v>
      </c>
      <c r="D171" s="19"/>
      <c r="E171" s="19">
        <f>SUM(C171:D171)</f>
        <v>0</v>
      </c>
      <c r="F171" s="19"/>
      <c r="G171" s="19">
        <f>SUM(E171:F171)</f>
        <v>0</v>
      </c>
      <c r="H171" s="19"/>
      <c r="I171" s="19">
        <f>SUM(G171:H171)</f>
        <v>0</v>
      </c>
      <c r="J171" s="19"/>
      <c r="K171" s="19">
        <f>SUM(I171:J171)</f>
        <v>0</v>
      </c>
      <c r="L171" s="19"/>
      <c r="M171" s="19">
        <f>SUM(K171:L171)</f>
        <v>0</v>
      </c>
      <c r="N171" s="19"/>
      <c r="O171" s="19">
        <f>SUM(M171:N171)</f>
        <v>0</v>
      </c>
      <c r="P171" s="19">
        <v>2000</v>
      </c>
      <c r="Q171" s="19"/>
      <c r="R171" s="19">
        <f>SUM(P171:Q171)</f>
        <v>2000</v>
      </c>
      <c r="S171" s="19"/>
      <c r="T171" s="19">
        <f>SUM(R171:S171)</f>
        <v>2000</v>
      </c>
      <c r="U171" s="19"/>
      <c r="V171" s="19">
        <f>SUM(T171:U171)</f>
        <v>2000</v>
      </c>
      <c r="W171" s="19"/>
      <c r="X171" s="19">
        <f>SUM(V171:W171)</f>
        <v>2000</v>
      </c>
      <c r="Y171" s="19"/>
      <c r="Z171" s="19">
        <f>SUM(X171:Y171)</f>
        <v>2000</v>
      </c>
      <c r="AA171" s="19"/>
      <c r="AB171" s="19">
        <f>SUM(Z171:AA171)</f>
        <v>2000</v>
      </c>
      <c r="AC171" s="19"/>
      <c r="AD171" s="19">
        <f>SUM(AB171:AC171)</f>
        <v>2000</v>
      </c>
      <c r="AE171" s="19"/>
      <c r="AF171" s="19">
        <f>SUM(AD171:AE171)</f>
        <v>2000</v>
      </c>
      <c r="AG171" s="19"/>
      <c r="AH171" s="19">
        <f>SUM(AF171:AG171)</f>
        <v>2000</v>
      </c>
      <c r="AI171" s="19">
        <v>1700</v>
      </c>
      <c r="AJ171" s="19"/>
      <c r="AK171" s="19">
        <f>SUM(AI171:AJ171)</f>
        <v>1700</v>
      </c>
      <c r="AL171" s="11" t="s">
        <v>10</v>
      </c>
      <c r="AM171" s="427">
        <v>43060</v>
      </c>
      <c r="AN171" s="388">
        <v>1020</v>
      </c>
      <c r="AO171" s="388">
        <f>SUM(AM171:AN171)</f>
        <v>44080</v>
      </c>
      <c r="AP171" s="388">
        <v>343</v>
      </c>
      <c r="AQ171" s="388">
        <f>SUM(AO171:AP171)</f>
        <v>44423</v>
      </c>
      <c r="AR171" s="388">
        <v>336</v>
      </c>
      <c r="AS171" s="388">
        <f>SUM(AQ171:AR171)</f>
        <v>44759</v>
      </c>
      <c r="AT171" s="388">
        <v>350</v>
      </c>
      <c r="AU171" s="388">
        <f>SUM(AS171:AT171)</f>
        <v>45109</v>
      </c>
      <c r="AV171" s="388">
        <v>688</v>
      </c>
      <c r="AW171" s="388">
        <f>SUM(AU171:AV171)</f>
        <v>45797</v>
      </c>
      <c r="AX171" s="388">
        <v>340</v>
      </c>
      <c r="AY171" s="388">
        <f>SUM(AW171:AX171)</f>
        <v>46137</v>
      </c>
      <c r="AZ171" s="388">
        <v>-662</v>
      </c>
      <c r="BA171" s="388">
        <f>SUM(AY171:AZ171)</f>
        <v>45475</v>
      </c>
      <c r="BB171" s="388">
        <v>330</v>
      </c>
      <c r="BC171" s="388">
        <f>SUM(BA171:BB171)</f>
        <v>45805</v>
      </c>
      <c r="BD171" s="388">
        <v>490</v>
      </c>
      <c r="BE171" s="388">
        <f>SUM(BC171:BD171)</f>
        <v>46295</v>
      </c>
      <c r="BF171" s="388">
        <v>46676</v>
      </c>
      <c r="BG171" s="18">
        <v>977</v>
      </c>
      <c r="BH171" s="388">
        <f>SUM(BF171:BG171)</f>
        <v>47653</v>
      </c>
    </row>
    <row r="172" spans="1:60" ht="15.75">
      <c r="A172" s="10" t="s">
        <v>67</v>
      </c>
      <c r="B172" s="19"/>
      <c r="C172" s="19">
        <f>SUM(B172:B172)</f>
        <v>0</v>
      </c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0" t="s">
        <v>12</v>
      </c>
      <c r="AM172" s="427">
        <v>8401</v>
      </c>
      <c r="AN172" s="388">
        <v>200</v>
      </c>
      <c r="AO172" s="388">
        <f t="shared" ref="AO172:AO173" si="313">SUM(AM172:AN172)</f>
        <v>8601</v>
      </c>
      <c r="AP172" s="388">
        <v>68</v>
      </c>
      <c r="AQ172" s="388">
        <f t="shared" ref="AQ172:AQ173" si="314">SUM(AO172:AP172)</f>
        <v>8669</v>
      </c>
      <c r="AR172" s="388">
        <v>66</v>
      </c>
      <c r="AS172" s="388">
        <f t="shared" ref="AS172:AS176" si="315">SUM(AQ172:AR172)</f>
        <v>8735</v>
      </c>
      <c r="AT172" s="388">
        <v>68</v>
      </c>
      <c r="AU172" s="388">
        <f t="shared" ref="AU172:AU173" si="316">SUM(AS172:AT172)</f>
        <v>8803</v>
      </c>
      <c r="AV172" s="388">
        <v>128</v>
      </c>
      <c r="AW172" s="388">
        <f t="shared" ref="AW172:AW173" si="317">SUM(AU172:AV172)</f>
        <v>8931</v>
      </c>
      <c r="AX172" s="388">
        <v>59</v>
      </c>
      <c r="AY172" s="388">
        <f t="shared" ref="AY172:AY173" si="318">SUM(AW172:AX172)</f>
        <v>8990</v>
      </c>
      <c r="AZ172" s="388">
        <v>59</v>
      </c>
      <c r="BA172" s="388">
        <f t="shared" ref="BA172:BA173" si="319">SUM(AY172:AZ172)</f>
        <v>9049</v>
      </c>
      <c r="BB172" s="388">
        <v>58</v>
      </c>
      <c r="BC172" s="388">
        <f t="shared" ref="BC172:BC173" si="320">SUM(BA172:BB172)</f>
        <v>9107</v>
      </c>
      <c r="BD172" s="388">
        <f>89-200</f>
        <v>-111</v>
      </c>
      <c r="BE172" s="388">
        <f t="shared" ref="BE172:BE178" si="321">SUM(BC172:BD172)</f>
        <v>8996</v>
      </c>
      <c r="BF172" s="388">
        <v>8224</v>
      </c>
      <c r="BG172" s="18">
        <v>173</v>
      </c>
      <c r="BH172" s="388">
        <f t="shared" ref="BH172:BH173" si="322">SUM(BF172:BG172)</f>
        <v>8397</v>
      </c>
    </row>
    <row r="173" spans="1:60" ht="15.75">
      <c r="A173" s="10" t="s">
        <v>70</v>
      </c>
      <c r="B173" s="19"/>
      <c r="C173" s="19">
        <f>SUM(B173:B173)</f>
        <v>0</v>
      </c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>
        <v>102</v>
      </c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4" t="s">
        <v>14</v>
      </c>
      <c r="AM173" s="427">
        <v>9380</v>
      </c>
      <c r="AN173" s="388">
        <v>200</v>
      </c>
      <c r="AO173" s="388">
        <f t="shared" si="313"/>
        <v>9580</v>
      </c>
      <c r="AP173" s="388">
        <v>4149</v>
      </c>
      <c r="AQ173" s="388">
        <f t="shared" si="314"/>
        <v>13729</v>
      </c>
      <c r="AR173" s="388">
        <v>519</v>
      </c>
      <c r="AS173" s="388">
        <f t="shared" si="315"/>
        <v>14248</v>
      </c>
      <c r="AT173" s="388">
        <v>250</v>
      </c>
      <c r="AU173" s="388">
        <f t="shared" si="316"/>
        <v>14498</v>
      </c>
      <c r="AV173" s="388">
        <v>270</v>
      </c>
      <c r="AW173" s="388">
        <f t="shared" si="317"/>
        <v>14768</v>
      </c>
      <c r="AX173" s="388">
        <v>71</v>
      </c>
      <c r="AY173" s="388">
        <f t="shared" si="318"/>
        <v>14839</v>
      </c>
      <c r="AZ173" s="388"/>
      <c r="BA173" s="388">
        <f t="shared" si="319"/>
        <v>14839</v>
      </c>
      <c r="BB173" s="388"/>
      <c r="BC173" s="388">
        <f t="shared" si="320"/>
        <v>14839</v>
      </c>
      <c r="BD173" s="388">
        <v>126</v>
      </c>
      <c r="BE173" s="388">
        <f t="shared" si="321"/>
        <v>14965</v>
      </c>
      <c r="BF173" s="388">
        <v>9888</v>
      </c>
      <c r="BG173" s="18">
        <v>200</v>
      </c>
      <c r="BH173" s="388">
        <f t="shared" si="322"/>
        <v>10088</v>
      </c>
    </row>
    <row r="174" spans="1:60">
      <c r="A174" s="10" t="s">
        <v>72</v>
      </c>
      <c r="B174" s="19"/>
      <c r="C174" s="19">
        <f>SUM(B174:B174)</f>
        <v>0</v>
      </c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5" t="s">
        <v>16</v>
      </c>
      <c r="AM174" s="388"/>
      <c r="AN174" s="388"/>
      <c r="AO174" s="388"/>
      <c r="AP174" s="388"/>
      <c r="AQ174" s="388"/>
      <c r="AR174" s="388"/>
      <c r="AS174" s="388"/>
      <c r="AT174" s="388"/>
      <c r="AU174" s="388"/>
      <c r="AV174" s="388"/>
      <c r="AW174" s="388"/>
      <c r="AX174" s="388"/>
      <c r="AY174" s="388"/>
      <c r="AZ174" s="388"/>
      <c r="BA174" s="388"/>
      <c r="BB174" s="388"/>
      <c r="BC174" s="388"/>
      <c r="BD174" s="388"/>
      <c r="BE174" s="388">
        <f t="shared" si="321"/>
        <v>0</v>
      </c>
      <c r="BF174" s="388"/>
      <c r="BG174" s="18"/>
      <c r="BH174" s="388"/>
    </row>
    <row r="175" spans="1:60">
      <c r="A175" s="10" t="s">
        <v>79</v>
      </c>
      <c r="B175" s="13">
        <f t="shared" ref="B175:AK175" si="323">B176+B177</f>
        <v>1627</v>
      </c>
      <c r="C175" s="13">
        <f t="shared" si="323"/>
        <v>1627</v>
      </c>
      <c r="D175" s="13">
        <f t="shared" si="323"/>
        <v>1829</v>
      </c>
      <c r="E175" s="13">
        <f t="shared" si="323"/>
        <v>3456</v>
      </c>
      <c r="F175" s="13">
        <f t="shared" si="323"/>
        <v>1286</v>
      </c>
      <c r="G175" s="13">
        <f t="shared" si="323"/>
        <v>4742</v>
      </c>
      <c r="H175" s="13">
        <f t="shared" si="323"/>
        <v>709</v>
      </c>
      <c r="I175" s="13">
        <f t="shared" si="323"/>
        <v>5451</v>
      </c>
      <c r="J175" s="13">
        <f t="shared" si="323"/>
        <v>848</v>
      </c>
      <c r="K175" s="13">
        <f t="shared" si="323"/>
        <v>6299</v>
      </c>
      <c r="L175" s="13">
        <f t="shared" si="323"/>
        <v>424</v>
      </c>
      <c r="M175" s="13">
        <f t="shared" si="323"/>
        <v>6723</v>
      </c>
      <c r="N175" s="13">
        <f t="shared" si="323"/>
        <v>420</v>
      </c>
      <c r="O175" s="13">
        <f t="shared" si="323"/>
        <v>62943</v>
      </c>
      <c r="P175" s="13">
        <f t="shared" si="323"/>
        <v>58841</v>
      </c>
      <c r="Q175" s="13">
        <f t="shared" si="323"/>
        <v>1420</v>
      </c>
      <c r="R175" s="13">
        <f t="shared" si="323"/>
        <v>60261</v>
      </c>
      <c r="S175" s="13">
        <f t="shared" si="323"/>
        <v>5462</v>
      </c>
      <c r="T175" s="13">
        <f t="shared" si="323"/>
        <v>65723</v>
      </c>
      <c r="U175" s="13">
        <f t="shared" si="323"/>
        <v>921</v>
      </c>
      <c r="V175" s="13">
        <f t="shared" si="323"/>
        <v>66644</v>
      </c>
      <c r="W175" s="13">
        <f t="shared" si="323"/>
        <v>418</v>
      </c>
      <c r="X175" s="13">
        <f t="shared" si="323"/>
        <v>67062</v>
      </c>
      <c r="Y175" s="13">
        <f t="shared" si="323"/>
        <v>816</v>
      </c>
      <c r="Z175" s="13">
        <f t="shared" si="323"/>
        <v>67878</v>
      </c>
      <c r="AA175" s="13">
        <f t="shared" si="323"/>
        <v>470</v>
      </c>
      <c r="AB175" s="13">
        <f t="shared" si="323"/>
        <v>68348</v>
      </c>
      <c r="AC175" s="13">
        <f t="shared" si="323"/>
        <v>397</v>
      </c>
      <c r="AD175" s="13">
        <f t="shared" si="323"/>
        <v>68745</v>
      </c>
      <c r="AE175" s="13">
        <f t="shared" si="323"/>
        <v>388</v>
      </c>
      <c r="AF175" s="13">
        <f t="shared" si="323"/>
        <v>69133</v>
      </c>
      <c r="AG175" s="13">
        <f t="shared" si="323"/>
        <v>379</v>
      </c>
      <c r="AH175" s="13">
        <f t="shared" si="323"/>
        <v>69512</v>
      </c>
      <c r="AI175" s="13">
        <f t="shared" si="323"/>
        <v>63088</v>
      </c>
      <c r="AJ175" s="13">
        <f t="shared" si="323"/>
        <v>1150</v>
      </c>
      <c r="AK175" s="13">
        <f t="shared" si="323"/>
        <v>64238</v>
      </c>
      <c r="AL175" s="14" t="s">
        <v>18</v>
      </c>
      <c r="AM175" s="388"/>
      <c r="AN175" s="388"/>
      <c r="AO175" s="388"/>
      <c r="AP175" s="388"/>
      <c r="AQ175" s="388"/>
      <c r="AR175" s="388"/>
      <c r="AS175" s="388"/>
      <c r="AT175" s="388"/>
      <c r="AU175" s="388">
        <f t="shared" ref="AU175:AU177" si="324">SUM(AS175:AT175)</f>
        <v>0</v>
      </c>
      <c r="AV175" s="388"/>
      <c r="AW175" s="388"/>
      <c r="AX175" s="388"/>
      <c r="AY175" s="388"/>
      <c r="AZ175" s="388"/>
      <c r="BA175" s="388"/>
      <c r="BB175" s="388"/>
      <c r="BC175" s="388"/>
      <c r="BD175" s="388"/>
      <c r="BE175" s="388">
        <f t="shared" si="321"/>
        <v>0</v>
      </c>
      <c r="BF175" s="388"/>
      <c r="BG175" s="18"/>
      <c r="BH175" s="388"/>
    </row>
    <row r="176" spans="1:60">
      <c r="A176" s="12" t="s">
        <v>93</v>
      </c>
      <c r="B176" s="19"/>
      <c r="C176" s="19">
        <f>SUM(B176:B176)</f>
        <v>0</v>
      </c>
      <c r="D176" s="19">
        <v>1829</v>
      </c>
      <c r="E176" s="19">
        <f>SUM(C176:D176)</f>
        <v>1829</v>
      </c>
      <c r="F176" s="19"/>
      <c r="G176" s="19">
        <f>SUM(E176:F176)</f>
        <v>1829</v>
      </c>
      <c r="H176" s="19"/>
      <c r="I176" s="19">
        <f>SUM(G176:H176)</f>
        <v>1829</v>
      </c>
      <c r="J176" s="19"/>
      <c r="K176" s="19">
        <f>SUM(I176:J176)</f>
        <v>1829</v>
      </c>
      <c r="L176" s="19"/>
      <c r="M176" s="19">
        <f>SUM(K176:L176)</f>
        <v>1829</v>
      </c>
      <c r="N176" s="19"/>
      <c r="O176" s="19">
        <f>SUM(M176:N176)</f>
        <v>1829</v>
      </c>
      <c r="P176" s="19"/>
      <c r="Q176" s="19"/>
      <c r="R176" s="19"/>
      <c r="S176" s="19">
        <v>5051</v>
      </c>
      <c r="T176" s="19">
        <f>SUM(R176:S176)</f>
        <v>5051</v>
      </c>
      <c r="U176" s="19"/>
      <c r="V176" s="19">
        <f>SUM(T176:U176)</f>
        <v>5051</v>
      </c>
      <c r="W176" s="19"/>
      <c r="X176" s="19">
        <f>SUM(V176:W176)</f>
        <v>5051</v>
      </c>
      <c r="Y176" s="19"/>
      <c r="Z176" s="19">
        <f>SUM(X176:Y176)</f>
        <v>5051</v>
      </c>
      <c r="AA176" s="19"/>
      <c r="AB176" s="19">
        <f>SUM(Z176:AA176)</f>
        <v>5051</v>
      </c>
      <c r="AC176" s="19"/>
      <c r="AD176" s="19">
        <f>SUM(AB176:AC176)</f>
        <v>5051</v>
      </c>
      <c r="AE176" s="19"/>
      <c r="AF176" s="19">
        <f>SUM(AD176:AE176)</f>
        <v>5051</v>
      </c>
      <c r="AG176" s="19"/>
      <c r="AH176" s="19">
        <f>SUM(AF176:AG176)</f>
        <v>5051</v>
      </c>
      <c r="AI176" s="19"/>
      <c r="AJ176" s="19"/>
      <c r="AK176" s="19"/>
      <c r="AL176" s="10" t="s">
        <v>37</v>
      </c>
      <c r="AM176" s="388">
        <v>0</v>
      </c>
      <c r="AN176" s="388"/>
      <c r="AO176" s="388">
        <f>SUM(AM176:AN176)</f>
        <v>0</v>
      </c>
      <c r="AP176" s="388">
        <v>902</v>
      </c>
      <c r="AQ176" s="388">
        <f t="shared" ref="AQ176" si="325">SUM(AO176:AP176)</f>
        <v>902</v>
      </c>
      <c r="AR176" s="388"/>
      <c r="AS176" s="388">
        <f t="shared" si="315"/>
        <v>902</v>
      </c>
      <c r="AT176" s="388"/>
      <c r="AU176" s="388">
        <f t="shared" si="324"/>
        <v>902</v>
      </c>
      <c r="AV176" s="388"/>
      <c r="AW176" s="388">
        <f t="shared" ref="AW176" si="326">SUM(AU176:AV176)</f>
        <v>902</v>
      </c>
      <c r="AX176" s="388"/>
      <c r="AY176" s="388">
        <f t="shared" ref="AY176" si="327">SUM(AW176:AX176)</f>
        <v>902</v>
      </c>
      <c r="AZ176" s="388">
        <v>1000</v>
      </c>
      <c r="BA176" s="388">
        <f t="shared" ref="BA176" si="328">SUM(AY176:AZ176)</f>
        <v>1902</v>
      </c>
      <c r="BB176" s="388"/>
      <c r="BC176" s="388">
        <f t="shared" ref="BC176" si="329">SUM(BA176:BB176)</f>
        <v>1902</v>
      </c>
      <c r="BD176" s="388">
        <v>200</v>
      </c>
      <c r="BE176" s="388">
        <f t="shared" si="321"/>
        <v>2102</v>
      </c>
      <c r="BF176" s="388">
        <v>0</v>
      </c>
      <c r="BG176" s="18"/>
      <c r="BH176" s="388">
        <f>SUM(BF176:BG176)</f>
        <v>0</v>
      </c>
    </row>
    <row r="177" spans="1:60">
      <c r="A177" s="25" t="s">
        <v>95</v>
      </c>
      <c r="B177" s="19">
        <v>1627</v>
      </c>
      <c r="C177" s="19">
        <f>SUM(B177:B177)</f>
        <v>1627</v>
      </c>
      <c r="D177" s="19"/>
      <c r="E177" s="19">
        <f>SUM(C177:D177)</f>
        <v>1627</v>
      </c>
      <c r="F177" s="19">
        <v>1286</v>
      </c>
      <c r="G177" s="19">
        <f>SUM(E177:F177)</f>
        <v>2913</v>
      </c>
      <c r="H177" s="19">
        <v>709</v>
      </c>
      <c r="I177" s="19">
        <f>SUM(G177:H177)</f>
        <v>3622</v>
      </c>
      <c r="J177" s="19">
        <v>848</v>
      </c>
      <c r="K177" s="19">
        <f>SUM(I177:J177)</f>
        <v>4470</v>
      </c>
      <c r="L177" s="19">
        <v>424</v>
      </c>
      <c r="M177" s="19">
        <f>SUM(K177:L177)</f>
        <v>4894</v>
      </c>
      <c r="N177" s="19">
        <v>420</v>
      </c>
      <c r="O177" s="19">
        <v>61114</v>
      </c>
      <c r="P177" s="19">
        <v>58841</v>
      </c>
      <c r="Q177" s="19">
        <v>1420</v>
      </c>
      <c r="R177" s="19">
        <f>SUM(P177:Q177)</f>
        <v>60261</v>
      </c>
      <c r="S177" s="19">
        <v>411</v>
      </c>
      <c r="T177" s="19">
        <f>SUM(R177:S177)</f>
        <v>60672</v>
      </c>
      <c r="U177" s="19">
        <v>921</v>
      </c>
      <c r="V177" s="19">
        <f>SUM(T177:U177)</f>
        <v>61593</v>
      </c>
      <c r="W177" s="19">
        <v>418</v>
      </c>
      <c r="X177" s="19">
        <f>SUM(V177:W177)</f>
        <v>62011</v>
      </c>
      <c r="Y177" s="19">
        <v>816</v>
      </c>
      <c r="Z177" s="19">
        <f>SUM(X177:Y177)</f>
        <v>62827</v>
      </c>
      <c r="AA177" s="19">
        <v>470</v>
      </c>
      <c r="AB177" s="19">
        <f>SUM(Z177:AA177)</f>
        <v>63297</v>
      </c>
      <c r="AC177" s="19">
        <v>397</v>
      </c>
      <c r="AD177" s="19">
        <f>SUM(AB177:AC177)</f>
        <v>63694</v>
      </c>
      <c r="AE177" s="19">
        <v>388</v>
      </c>
      <c r="AF177" s="19">
        <f>SUM(AD177:AE177)</f>
        <v>64082</v>
      </c>
      <c r="AG177" s="19">
        <v>379</v>
      </c>
      <c r="AH177" s="19">
        <f>SUM(AF177:AG177)</f>
        <v>64461</v>
      </c>
      <c r="AI177" s="19">
        <f>68120-5032</f>
        <v>63088</v>
      </c>
      <c r="AJ177" s="19">
        <v>1150</v>
      </c>
      <c r="AK177" s="19">
        <f>SUM(AI177:AJ177)</f>
        <v>64238</v>
      </c>
      <c r="AL177" s="10" t="s">
        <v>39</v>
      </c>
      <c r="AM177" s="388"/>
      <c r="AN177" s="388"/>
      <c r="AO177" s="388"/>
      <c r="AP177" s="388"/>
      <c r="AQ177" s="388"/>
      <c r="AR177" s="388"/>
      <c r="AS177" s="388"/>
      <c r="AT177" s="388"/>
      <c r="AU177" s="388">
        <f t="shared" si="324"/>
        <v>0</v>
      </c>
      <c r="AV177" s="388"/>
      <c r="AW177" s="388"/>
      <c r="AX177" s="388"/>
      <c r="AY177" s="388"/>
      <c r="AZ177" s="388"/>
      <c r="BA177" s="388"/>
      <c r="BB177" s="388"/>
      <c r="BC177" s="388"/>
      <c r="BD177" s="388"/>
      <c r="BE177" s="388">
        <f t="shared" si="321"/>
        <v>0</v>
      </c>
      <c r="BF177" s="388"/>
      <c r="BG177" s="18"/>
      <c r="BH177" s="18"/>
    </row>
    <row r="178" spans="1:60" ht="15.75">
      <c r="A178" s="25"/>
      <c r="B178" s="19"/>
      <c r="C178" s="19">
        <f>SUM(B178:B178)</f>
        <v>0</v>
      </c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355"/>
      <c r="AB178" s="355"/>
      <c r="AC178" s="355"/>
      <c r="AD178" s="355"/>
      <c r="AE178" s="355"/>
      <c r="AF178" s="355"/>
      <c r="AG178" s="355"/>
      <c r="AH178" s="355"/>
      <c r="AI178" s="355"/>
      <c r="AJ178" s="355"/>
      <c r="AK178" s="355"/>
      <c r="AL178" s="10" t="s">
        <v>40</v>
      </c>
      <c r="AM178" s="388"/>
      <c r="AN178" s="388"/>
      <c r="AO178" s="388"/>
      <c r="AP178" s="388"/>
      <c r="AQ178" s="388"/>
      <c r="AR178" s="388"/>
      <c r="AS178" s="388"/>
      <c r="AT178" s="388"/>
      <c r="AU178" s="388"/>
      <c r="AV178" s="388"/>
      <c r="AW178" s="388"/>
      <c r="AX178" s="388"/>
      <c r="AY178" s="388"/>
      <c r="AZ178" s="388"/>
      <c r="BA178" s="388"/>
      <c r="BB178" s="388"/>
      <c r="BC178" s="388"/>
      <c r="BD178" s="388"/>
      <c r="BE178" s="388">
        <f t="shared" si="321"/>
        <v>0</v>
      </c>
      <c r="BF178" s="388"/>
      <c r="BG178" s="18"/>
      <c r="BH178" s="18"/>
    </row>
    <row r="179" spans="1:60" ht="15.75">
      <c r="A179" s="32" t="s">
        <v>96</v>
      </c>
      <c r="B179" s="355">
        <f t="shared" ref="B179:O179" si="330">B171+B172+B173+B174+B175+B170</f>
        <v>1627</v>
      </c>
      <c r="C179" s="355">
        <f t="shared" si="330"/>
        <v>1627</v>
      </c>
      <c r="D179" s="355">
        <f t="shared" si="330"/>
        <v>7731</v>
      </c>
      <c r="E179" s="355">
        <f t="shared" si="330"/>
        <v>9358</v>
      </c>
      <c r="F179" s="355">
        <f t="shared" si="330"/>
        <v>1286</v>
      </c>
      <c r="G179" s="355">
        <f t="shared" si="330"/>
        <v>10644</v>
      </c>
      <c r="H179" s="355">
        <f t="shared" si="330"/>
        <v>709</v>
      </c>
      <c r="I179" s="355">
        <f t="shared" si="330"/>
        <v>11353</v>
      </c>
      <c r="J179" s="355">
        <f t="shared" si="330"/>
        <v>848</v>
      </c>
      <c r="K179" s="355">
        <f t="shared" si="330"/>
        <v>12201</v>
      </c>
      <c r="L179" s="355">
        <f t="shared" si="330"/>
        <v>424</v>
      </c>
      <c r="M179" s="355">
        <f t="shared" si="330"/>
        <v>12625</v>
      </c>
      <c r="N179" s="355">
        <f t="shared" si="330"/>
        <v>420</v>
      </c>
      <c r="O179" s="355">
        <f t="shared" si="330"/>
        <v>69103</v>
      </c>
      <c r="P179" s="355">
        <f>P171+P172+P173+P174+P175+P170</f>
        <v>60841</v>
      </c>
      <c r="Q179" s="355">
        <f>Q171+Q172+Q173+Q174+Q175+Q170</f>
        <v>1420</v>
      </c>
      <c r="R179" s="355">
        <f>R171+R172+R173+R174+R175+R170</f>
        <v>62261</v>
      </c>
      <c r="S179" s="355">
        <f t="shared" ref="S179:V179" si="331">S171+S172+S173+S174+S175+S170</f>
        <v>5462</v>
      </c>
      <c r="T179" s="355">
        <f t="shared" si="331"/>
        <v>67723</v>
      </c>
      <c r="U179" s="355">
        <f t="shared" si="331"/>
        <v>921</v>
      </c>
      <c r="V179" s="355">
        <f t="shared" si="331"/>
        <v>68644</v>
      </c>
      <c r="W179" s="355">
        <f t="shared" ref="W179:AB179" si="332">W171+W172+W173+W174+W175+W170</f>
        <v>668</v>
      </c>
      <c r="X179" s="355">
        <f t="shared" si="332"/>
        <v>69312</v>
      </c>
      <c r="Y179" s="355">
        <f t="shared" si="332"/>
        <v>1086</v>
      </c>
      <c r="Z179" s="355">
        <f t="shared" si="332"/>
        <v>70398</v>
      </c>
      <c r="AA179" s="355">
        <f t="shared" si="332"/>
        <v>470</v>
      </c>
      <c r="AB179" s="355">
        <f t="shared" si="332"/>
        <v>70868</v>
      </c>
      <c r="AC179" s="355">
        <f t="shared" ref="AC179:AD179" si="333">AC171+AC172+AC173+AC174+AC175+AC170</f>
        <v>397</v>
      </c>
      <c r="AD179" s="355">
        <f t="shared" si="333"/>
        <v>71265</v>
      </c>
      <c r="AE179" s="355">
        <f t="shared" ref="AE179:AF179" si="334">AE171+AE172+AE173+AE174+AE175+AE170</f>
        <v>388</v>
      </c>
      <c r="AF179" s="355">
        <f t="shared" si="334"/>
        <v>71653</v>
      </c>
      <c r="AG179" s="355">
        <f t="shared" ref="AG179:AH179" si="335">AG171+AG172+AG173+AG174+AG175+AG170</f>
        <v>705</v>
      </c>
      <c r="AH179" s="355">
        <f t="shared" si="335"/>
        <v>72358</v>
      </c>
      <c r="AI179" s="355">
        <f t="shared" ref="AI179:AJ179" si="336">AI171+AI172+AI173+AI174+AI175+AI170</f>
        <v>64788</v>
      </c>
      <c r="AJ179" s="355">
        <f t="shared" si="336"/>
        <v>1350</v>
      </c>
      <c r="AK179" s="355">
        <f t="shared" ref="AK179" si="337">AK171+AK172+AK173+AK174+AK175+AK170</f>
        <v>66138</v>
      </c>
      <c r="AL179" s="32" t="s">
        <v>97</v>
      </c>
      <c r="AM179" s="425">
        <f>SUM(AM171:AM178)</f>
        <v>60841</v>
      </c>
      <c r="AN179" s="425">
        <f t="shared" ref="AN179:AO179" si="338">SUM(AN171:AN178)</f>
        <v>1420</v>
      </c>
      <c r="AO179" s="425">
        <f t="shared" si="338"/>
        <v>62261</v>
      </c>
      <c r="AP179" s="425">
        <f t="shared" ref="AP179:BA179" si="339">SUM(AP171:AP178)</f>
        <v>5462</v>
      </c>
      <c r="AQ179" s="425">
        <f t="shared" si="339"/>
        <v>67723</v>
      </c>
      <c r="AR179" s="425">
        <f t="shared" si="339"/>
        <v>921</v>
      </c>
      <c r="AS179" s="425">
        <f t="shared" si="339"/>
        <v>68644</v>
      </c>
      <c r="AT179" s="425">
        <f t="shared" si="339"/>
        <v>668</v>
      </c>
      <c r="AU179" s="425">
        <f t="shared" si="339"/>
        <v>69312</v>
      </c>
      <c r="AV179" s="425">
        <f t="shared" si="339"/>
        <v>1086</v>
      </c>
      <c r="AW179" s="425">
        <f t="shared" si="339"/>
        <v>70398</v>
      </c>
      <c r="AX179" s="425">
        <f t="shared" si="339"/>
        <v>470</v>
      </c>
      <c r="AY179" s="425">
        <f t="shared" si="339"/>
        <v>70868</v>
      </c>
      <c r="AZ179" s="425">
        <f t="shared" si="339"/>
        <v>397</v>
      </c>
      <c r="BA179" s="425">
        <f t="shared" si="339"/>
        <v>71265</v>
      </c>
      <c r="BB179" s="425">
        <f t="shared" ref="BB179:BC179" si="340">SUM(BB171:BB178)</f>
        <v>388</v>
      </c>
      <c r="BC179" s="425">
        <f t="shared" si="340"/>
        <v>71653</v>
      </c>
      <c r="BD179" s="425">
        <f t="shared" ref="BD179:BE179" si="341">SUM(BD171:BD178)</f>
        <v>705</v>
      </c>
      <c r="BE179" s="425">
        <f t="shared" si="341"/>
        <v>72358</v>
      </c>
      <c r="BF179" s="425">
        <f t="shared" ref="BF179:BH179" si="342">SUM(BF171:BF178)</f>
        <v>64788</v>
      </c>
      <c r="BG179" s="425">
        <f t="shared" si="342"/>
        <v>1350</v>
      </c>
      <c r="BH179" s="425">
        <f t="shared" si="342"/>
        <v>66138</v>
      </c>
    </row>
    <row r="180" spans="1:60" ht="15.75">
      <c r="A180" s="34" t="s">
        <v>88</v>
      </c>
      <c r="B180" s="35">
        <f>B171+B175</f>
        <v>1627</v>
      </c>
      <c r="C180" s="35">
        <f>C171+C175</f>
        <v>1627</v>
      </c>
      <c r="D180" s="35">
        <f>D171+D175+D170</f>
        <v>7731</v>
      </c>
      <c r="E180" s="35">
        <f>E171+E175+E170</f>
        <v>9358</v>
      </c>
      <c r="F180" s="35">
        <f t="shared" ref="F180:O180" si="343">F171+F175+F170</f>
        <v>1286</v>
      </c>
      <c r="G180" s="35">
        <f t="shared" si="343"/>
        <v>10644</v>
      </c>
      <c r="H180" s="35">
        <f t="shared" si="343"/>
        <v>709</v>
      </c>
      <c r="I180" s="35">
        <f t="shared" si="343"/>
        <v>11353</v>
      </c>
      <c r="J180" s="35">
        <f t="shared" si="343"/>
        <v>848</v>
      </c>
      <c r="K180" s="35">
        <f t="shared" si="343"/>
        <v>12201</v>
      </c>
      <c r="L180" s="35">
        <f t="shared" si="343"/>
        <v>424</v>
      </c>
      <c r="M180" s="35">
        <f t="shared" si="343"/>
        <v>12625</v>
      </c>
      <c r="N180" s="35">
        <f t="shared" si="343"/>
        <v>420</v>
      </c>
      <c r="O180" s="35">
        <f t="shared" si="343"/>
        <v>69001</v>
      </c>
      <c r="P180" s="35">
        <f>P171+P175+P170</f>
        <v>60841</v>
      </c>
      <c r="Q180" s="35">
        <f>Q171+Q175+Q170</f>
        <v>1420</v>
      </c>
      <c r="R180" s="35">
        <f>R171+R175+R170</f>
        <v>62261</v>
      </c>
      <c r="S180" s="35">
        <f t="shared" ref="S180:V180" si="344">S171+S175+S170</f>
        <v>5462</v>
      </c>
      <c r="T180" s="35">
        <f t="shared" si="344"/>
        <v>67723</v>
      </c>
      <c r="U180" s="35">
        <f t="shared" si="344"/>
        <v>921</v>
      </c>
      <c r="V180" s="35">
        <f t="shared" si="344"/>
        <v>68644</v>
      </c>
      <c r="W180" s="35">
        <f t="shared" ref="W180:AB180" si="345">W171+W175+W170</f>
        <v>668</v>
      </c>
      <c r="X180" s="35">
        <f t="shared" si="345"/>
        <v>69312</v>
      </c>
      <c r="Y180" s="35">
        <f t="shared" si="345"/>
        <v>1086</v>
      </c>
      <c r="Z180" s="35">
        <f t="shared" si="345"/>
        <v>70398</v>
      </c>
      <c r="AA180" s="35">
        <f t="shared" si="345"/>
        <v>470</v>
      </c>
      <c r="AB180" s="35">
        <f t="shared" si="345"/>
        <v>70868</v>
      </c>
      <c r="AC180" s="35">
        <f t="shared" ref="AC180:AD180" si="346">AC171+AC175+AC170</f>
        <v>397</v>
      </c>
      <c r="AD180" s="35">
        <f t="shared" si="346"/>
        <v>71265</v>
      </c>
      <c r="AE180" s="35">
        <f t="shared" ref="AE180:AF180" si="347">AE171+AE175+AE170</f>
        <v>388</v>
      </c>
      <c r="AF180" s="35">
        <f t="shared" si="347"/>
        <v>71653</v>
      </c>
      <c r="AG180" s="35">
        <f t="shared" ref="AG180:AH180" si="348">AG171+AG175+AG170</f>
        <v>705</v>
      </c>
      <c r="AH180" s="35">
        <f t="shared" si="348"/>
        <v>72358</v>
      </c>
      <c r="AI180" s="35">
        <f t="shared" ref="AI180:AJ180" si="349">AI171+AI175+AI170</f>
        <v>64788</v>
      </c>
      <c r="AJ180" s="35">
        <f t="shared" si="349"/>
        <v>1350</v>
      </c>
      <c r="AK180" s="35">
        <f t="shared" ref="AK180" si="350">AK171+AK175+AK170</f>
        <v>66138</v>
      </c>
      <c r="AL180" s="34" t="s">
        <v>89</v>
      </c>
      <c r="AM180" s="426">
        <f>AM171+AM172+AM173+AM175</f>
        <v>60841</v>
      </c>
      <c r="AN180" s="426">
        <f t="shared" ref="AN180:BE180" si="351">AN171+AN172+AN173+AN175</f>
        <v>1420</v>
      </c>
      <c r="AO180" s="426">
        <f t="shared" si="351"/>
        <v>62261</v>
      </c>
      <c r="AP180" s="426">
        <f t="shared" si="351"/>
        <v>4560</v>
      </c>
      <c r="AQ180" s="426">
        <f t="shared" si="351"/>
        <v>66821</v>
      </c>
      <c r="AR180" s="426">
        <f t="shared" si="351"/>
        <v>921</v>
      </c>
      <c r="AS180" s="426">
        <f t="shared" si="351"/>
        <v>67742</v>
      </c>
      <c r="AT180" s="426">
        <f t="shared" si="351"/>
        <v>668</v>
      </c>
      <c r="AU180" s="426">
        <f t="shared" si="351"/>
        <v>68410</v>
      </c>
      <c r="AV180" s="426">
        <f t="shared" si="351"/>
        <v>1086</v>
      </c>
      <c r="AW180" s="426">
        <f t="shared" si="351"/>
        <v>69496</v>
      </c>
      <c r="AX180" s="426">
        <f t="shared" si="351"/>
        <v>470</v>
      </c>
      <c r="AY180" s="426">
        <f t="shared" si="351"/>
        <v>69966</v>
      </c>
      <c r="AZ180" s="426">
        <f t="shared" si="351"/>
        <v>-603</v>
      </c>
      <c r="BA180" s="426">
        <f t="shared" si="351"/>
        <v>69363</v>
      </c>
      <c r="BB180" s="426">
        <f t="shared" si="351"/>
        <v>388</v>
      </c>
      <c r="BC180" s="426">
        <f t="shared" si="351"/>
        <v>69751</v>
      </c>
      <c r="BD180" s="426">
        <f t="shared" si="351"/>
        <v>505</v>
      </c>
      <c r="BE180" s="426">
        <f t="shared" si="351"/>
        <v>70256</v>
      </c>
      <c r="BF180" s="426">
        <f t="shared" ref="BF180:BH180" si="352">BF171+BF172+BF173+BF175</f>
        <v>64788</v>
      </c>
      <c r="BG180" s="426">
        <f t="shared" si="352"/>
        <v>1350</v>
      </c>
      <c r="BH180" s="426">
        <f t="shared" si="352"/>
        <v>66138</v>
      </c>
    </row>
    <row r="181" spans="1:60" ht="15.75">
      <c r="A181" s="34" t="s">
        <v>90</v>
      </c>
      <c r="B181" s="35">
        <f t="shared" ref="B181:O181" si="353">B172+B174</f>
        <v>0</v>
      </c>
      <c r="C181" s="35">
        <f t="shared" si="353"/>
        <v>0</v>
      </c>
      <c r="D181" s="35">
        <f t="shared" si="353"/>
        <v>0</v>
      </c>
      <c r="E181" s="35">
        <f t="shared" si="353"/>
        <v>0</v>
      </c>
      <c r="F181" s="35">
        <f t="shared" si="353"/>
        <v>0</v>
      </c>
      <c r="G181" s="35">
        <f t="shared" si="353"/>
        <v>0</v>
      </c>
      <c r="H181" s="35">
        <f t="shared" si="353"/>
        <v>0</v>
      </c>
      <c r="I181" s="35">
        <f t="shared" si="353"/>
        <v>0</v>
      </c>
      <c r="J181" s="35">
        <f t="shared" si="353"/>
        <v>0</v>
      </c>
      <c r="K181" s="35">
        <f t="shared" si="353"/>
        <v>0</v>
      </c>
      <c r="L181" s="35">
        <f t="shared" si="353"/>
        <v>0</v>
      </c>
      <c r="M181" s="35">
        <f t="shared" si="353"/>
        <v>0</v>
      </c>
      <c r="N181" s="35">
        <f t="shared" si="353"/>
        <v>0</v>
      </c>
      <c r="O181" s="35">
        <f t="shared" si="353"/>
        <v>0</v>
      </c>
      <c r="P181" s="35">
        <f>P172+P174</f>
        <v>0</v>
      </c>
      <c r="Q181" s="35">
        <f>Q172+Q174</f>
        <v>0</v>
      </c>
      <c r="R181" s="35">
        <f>R172+R174</f>
        <v>0</v>
      </c>
      <c r="S181" s="35">
        <f t="shared" ref="S181:V181" si="354">S172+S174</f>
        <v>0</v>
      </c>
      <c r="T181" s="35">
        <f t="shared" si="354"/>
        <v>0</v>
      </c>
      <c r="U181" s="35">
        <f t="shared" si="354"/>
        <v>0</v>
      </c>
      <c r="V181" s="35">
        <f t="shared" si="354"/>
        <v>0</v>
      </c>
      <c r="W181" s="35">
        <f t="shared" ref="W181:AB181" si="355">W172+W174</f>
        <v>0</v>
      </c>
      <c r="X181" s="35">
        <f t="shared" si="355"/>
        <v>0</v>
      </c>
      <c r="Y181" s="35">
        <f t="shared" si="355"/>
        <v>0</v>
      </c>
      <c r="Z181" s="35">
        <f t="shared" si="355"/>
        <v>0</v>
      </c>
      <c r="AA181" s="35">
        <f t="shared" si="355"/>
        <v>0</v>
      </c>
      <c r="AB181" s="35">
        <f t="shared" si="355"/>
        <v>0</v>
      </c>
      <c r="AC181" s="35">
        <f t="shared" ref="AC181:AD181" si="356">AC172+AC174</f>
        <v>0</v>
      </c>
      <c r="AD181" s="35">
        <f t="shared" si="356"/>
        <v>0</v>
      </c>
      <c r="AE181" s="35">
        <f t="shared" ref="AE181:AF181" si="357">AE172+AE174</f>
        <v>0</v>
      </c>
      <c r="AF181" s="35">
        <f t="shared" si="357"/>
        <v>0</v>
      </c>
      <c r="AG181" s="35">
        <f t="shared" ref="AG181:AH181" si="358">AG172+AG174</f>
        <v>0</v>
      </c>
      <c r="AH181" s="35">
        <f t="shared" si="358"/>
        <v>0</v>
      </c>
      <c r="AI181" s="35">
        <f t="shared" ref="AI181:AJ181" si="359">AI172+AI174</f>
        <v>0</v>
      </c>
      <c r="AJ181" s="35">
        <f t="shared" si="359"/>
        <v>0</v>
      </c>
      <c r="AK181" s="35">
        <f t="shared" ref="AK181" si="360">AK172+AK174</f>
        <v>0</v>
      </c>
      <c r="AL181" s="34" t="s">
        <v>91</v>
      </c>
      <c r="AM181" s="426">
        <f>AM176+AM177+AM178</f>
        <v>0</v>
      </c>
      <c r="AN181" s="426">
        <f t="shared" ref="AN181:BE181" si="361">AN176+AN177+AN178</f>
        <v>0</v>
      </c>
      <c r="AO181" s="426">
        <f t="shared" si="361"/>
        <v>0</v>
      </c>
      <c r="AP181" s="426">
        <f t="shared" si="361"/>
        <v>902</v>
      </c>
      <c r="AQ181" s="426">
        <f t="shared" si="361"/>
        <v>902</v>
      </c>
      <c r="AR181" s="426">
        <f t="shared" si="361"/>
        <v>0</v>
      </c>
      <c r="AS181" s="426">
        <f t="shared" si="361"/>
        <v>902</v>
      </c>
      <c r="AT181" s="426">
        <f t="shared" si="361"/>
        <v>0</v>
      </c>
      <c r="AU181" s="426">
        <f t="shared" si="361"/>
        <v>902</v>
      </c>
      <c r="AV181" s="426">
        <f t="shared" si="361"/>
        <v>0</v>
      </c>
      <c r="AW181" s="426">
        <f t="shared" si="361"/>
        <v>902</v>
      </c>
      <c r="AX181" s="426">
        <f t="shared" si="361"/>
        <v>0</v>
      </c>
      <c r="AY181" s="426">
        <f t="shared" si="361"/>
        <v>902</v>
      </c>
      <c r="AZ181" s="426">
        <f t="shared" si="361"/>
        <v>1000</v>
      </c>
      <c r="BA181" s="426">
        <f t="shared" si="361"/>
        <v>1902</v>
      </c>
      <c r="BB181" s="426">
        <f t="shared" si="361"/>
        <v>0</v>
      </c>
      <c r="BC181" s="426">
        <f t="shared" si="361"/>
        <v>1902</v>
      </c>
      <c r="BD181" s="426">
        <f t="shared" si="361"/>
        <v>200</v>
      </c>
      <c r="BE181" s="426">
        <f t="shared" si="361"/>
        <v>2102</v>
      </c>
      <c r="BF181" s="426">
        <f t="shared" ref="BF181:BH181" si="362">BF176+BF177+BF178</f>
        <v>0</v>
      </c>
      <c r="BG181" s="426">
        <f t="shared" si="362"/>
        <v>0</v>
      </c>
      <c r="BH181" s="426">
        <f t="shared" si="362"/>
        <v>0</v>
      </c>
    </row>
    <row r="182" spans="1:60" ht="15.75" customHeight="1">
      <c r="A182" s="715" t="s">
        <v>101</v>
      </c>
      <c r="B182" s="716"/>
      <c r="C182" s="716"/>
      <c r="D182" s="716"/>
      <c r="E182" s="716"/>
      <c r="F182" s="716"/>
      <c r="G182" s="716"/>
      <c r="H182" s="716"/>
      <c r="I182" s="716"/>
      <c r="J182" s="716"/>
      <c r="K182" s="716"/>
      <c r="L182" s="716"/>
      <c r="M182" s="716"/>
      <c r="N182" s="716"/>
      <c r="O182" s="716"/>
      <c r="P182" s="716"/>
      <c r="Q182" s="716"/>
      <c r="R182" s="716"/>
      <c r="S182" s="716"/>
      <c r="T182" s="716"/>
      <c r="U182" s="716"/>
      <c r="V182" s="716"/>
      <c r="W182" s="716"/>
      <c r="X182" s="716"/>
      <c r="Y182" s="716"/>
      <c r="Z182" s="716"/>
      <c r="AA182" s="716"/>
      <c r="AB182" s="716"/>
      <c r="AC182" s="716"/>
      <c r="AD182" s="716"/>
      <c r="AE182" s="716"/>
      <c r="AF182" s="716"/>
      <c r="AG182" s="716"/>
      <c r="AH182" s="716"/>
      <c r="AI182" s="716"/>
      <c r="AJ182" s="716"/>
      <c r="AK182" s="716"/>
      <c r="AL182" s="716"/>
      <c r="AM182" s="716"/>
      <c r="AN182" s="716"/>
      <c r="AO182" s="716"/>
      <c r="AP182" s="716"/>
      <c r="AQ182" s="716"/>
      <c r="AR182" s="716"/>
      <c r="AS182" s="716"/>
      <c r="AT182" s="716"/>
      <c r="AU182" s="716"/>
      <c r="AV182" s="716"/>
      <c r="AW182" s="716"/>
      <c r="AX182" s="716"/>
      <c r="AY182" s="716"/>
      <c r="AZ182" s="716"/>
      <c r="BA182" s="716"/>
      <c r="BB182" s="716"/>
      <c r="BC182" s="716"/>
      <c r="BD182" s="716"/>
      <c r="BE182" s="716"/>
      <c r="BF182" s="716"/>
      <c r="BG182" s="716"/>
      <c r="BH182" s="717"/>
    </row>
    <row r="183" spans="1:60" ht="15.75" customHeight="1">
      <c r="A183" s="10" t="s">
        <v>9</v>
      </c>
      <c r="B183" s="19">
        <v>400</v>
      </c>
      <c r="C183" s="19">
        <f>SUM(B183:B183)</f>
        <v>400</v>
      </c>
      <c r="D183" s="19"/>
      <c r="E183" s="19">
        <f>SUM(C183:D183)</f>
        <v>400</v>
      </c>
      <c r="F183" s="19"/>
      <c r="G183" s="19">
        <f>SUM(E183:F183)</f>
        <v>400</v>
      </c>
      <c r="H183" s="19"/>
      <c r="I183" s="19">
        <f>SUM(G183:H183)</f>
        <v>400</v>
      </c>
      <c r="J183" s="19">
        <v>700</v>
      </c>
      <c r="K183" s="19">
        <f>SUM(I183:J183)</f>
        <v>1100</v>
      </c>
      <c r="L183" s="19"/>
      <c r="M183" s="19">
        <f>SUM(K183:L183)</f>
        <v>1100</v>
      </c>
      <c r="N183" s="19"/>
      <c r="O183" s="19">
        <v>1600</v>
      </c>
      <c r="P183" s="19"/>
      <c r="Q183" s="19"/>
      <c r="R183" s="19"/>
      <c r="S183" s="19"/>
      <c r="T183" s="19"/>
      <c r="U183" s="19"/>
      <c r="V183" s="19"/>
      <c r="W183" s="19">
        <f>350+69754</f>
        <v>70104</v>
      </c>
      <c r="X183" s="19">
        <f>SUM(V183:W183)</f>
        <v>70104</v>
      </c>
      <c r="Y183" s="19"/>
      <c r="Z183" s="19">
        <f>SUM(X183:Y183)</f>
        <v>70104</v>
      </c>
      <c r="AA183" s="19"/>
      <c r="AB183" s="19">
        <f>SUM(Z183:AA183)</f>
        <v>70104</v>
      </c>
      <c r="AC183" s="19">
        <v>500</v>
      </c>
      <c r="AD183" s="19">
        <f>SUM(AB183:AC183)</f>
        <v>70604</v>
      </c>
      <c r="AE183" s="19"/>
      <c r="AF183" s="19">
        <f>SUM(AD183:AE183)</f>
        <v>70604</v>
      </c>
      <c r="AG183" s="19"/>
      <c r="AH183" s="19">
        <f>SUM(AF183:AG183)</f>
        <v>70604</v>
      </c>
      <c r="AI183" s="19"/>
      <c r="AJ183" s="19"/>
      <c r="AK183" s="19"/>
      <c r="AL183" s="38"/>
      <c r="AM183" s="18"/>
      <c r="AN183" s="18"/>
      <c r="AO183" s="18"/>
      <c r="AP183" s="18"/>
      <c r="AQ183" s="18"/>
      <c r="AR183" s="18"/>
      <c r="AS183" s="18"/>
      <c r="AT183" s="18"/>
      <c r="AU183" s="18"/>
      <c r="AV183" s="18"/>
      <c r="AW183" s="18"/>
      <c r="AX183" s="18"/>
      <c r="AY183" s="18"/>
      <c r="AZ183" s="18"/>
      <c r="BA183" s="18"/>
      <c r="BB183" s="18"/>
      <c r="BC183" s="18"/>
      <c r="BD183" s="18"/>
      <c r="BE183" s="18"/>
      <c r="BF183" s="18"/>
      <c r="BG183" s="18"/>
      <c r="BH183" s="18"/>
    </row>
    <row r="184" spans="1:60">
      <c r="A184" s="10" t="s">
        <v>59</v>
      </c>
      <c r="B184" s="19"/>
      <c r="C184" s="19">
        <f>SUM(B184:B184)</f>
        <v>0</v>
      </c>
      <c r="D184" s="19"/>
      <c r="E184" s="19">
        <f>SUM(C184:D184)</f>
        <v>0</v>
      </c>
      <c r="F184" s="19"/>
      <c r="G184" s="19">
        <f>SUM(E184:F184)</f>
        <v>0</v>
      </c>
      <c r="H184" s="19"/>
      <c r="I184" s="19">
        <f>SUM(G184:H184)</f>
        <v>0</v>
      </c>
      <c r="J184" s="19"/>
      <c r="K184" s="19">
        <f>SUM(I184:J184)</f>
        <v>0</v>
      </c>
      <c r="L184" s="19"/>
      <c r="M184" s="19">
        <f>SUM(K184:L184)</f>
        <v>0</v>
      </c>
      <c r="N184" s="19"/>
      <c r="O184" s="19">
        <f>SUM(M184:N184)</f>
        <v>0</v>
      </c>
      <c r="P184" s="19">
        <v>8089</v>
      </c>
      <c r="Q184" s="19"/>
      <c r="R184" s="19">
        <f>SUM(P184:Q184)</f>
        <v>8089</v>
      </c>
      <c r="S184" s="19"/>
      <c r="T184" s="19">
        <f>SUM(R184:S184)</f>
        <v>8089</v>
      </c>
      <c r="U184" s="19"/>
      <c r="V184" s="19">
        <f>SUM(T184:U184)</f>
        <v>8089</v>
      </c>
      <c r="W184" s="19"/>
      <c r="X184" s="19">
        <f>SUM(V184:W184)</f>
        <v>8089</v>
      </c>
      <c r="Y184" s="19"/>
      <c r="Z184" s="19">
        <f>SUM(X184:Y184)</f>
        <v>8089</v>
      </c>
      <c r="AA184" s="19"/>
      <c r="AB184" s="19">
        <f>SUM(Z184:AA184)</f>
        <v>8089</v>
      </c>
      <c r="AC184" s="19"/>
      <c r="AD184" s="19">
        <f>SUM(AB184:AC184)</f>
        <v>8089</v>
      </c>
      <c r="AE184" s="19"/>
      <c r="AF184" s="19">
        <f>SUM(AD184:AE184)</f>
        <v>8089</v>
      </c>
      <c r="AG184" s="19"/>
      <c r="AH184" s="19">
        <f>SUM(AF184:AG184)</f>
        <v>8089</v>
      </c>
      <c r="AI184" s="19">
        <v>11771</v>
      </c>
      <c r="AJ184" s="19"/>
      <c r="AK184" s="19">
        <f>SUM(AI184:AJ184)</f>
        <v>11771</v>
      </c>
      <c r="AL184" s="11" t="s">
        <v>10</v>
      </c>
      <c r="AM184" s="388">
        <v>34874</v>
      </c>
      <c r="AN184" s="388">
        <v>653</v>
      </c>
      <c r="AO184" s="388">
        <f>SUM(AM184:AN184)</f>
        <v>35527</v>
      </c>
      <c r="AP184" s="388">
        <v>2020</v>
      </c>
      <c r="AQ184" s="388">
        <f>SUM(AO184:AP184)</f>
        <v>37547</v>
      </c>
      <c r="AR184" s="388">
        <v>215</v>
      </c>
      <c r="AS184" s="388">
        <f>SUM(AQ184:AR184)</f>
        <v>37762</v>
      </c>
      <c r="AT184" s="388">
        <v>215</v>
      </c>
      <c r="AU184" s="388">
        <f>SUM(AS184:AT184)</f>
        <v>37977</v>
      </c>
      <c r="AV184" s="388">
        <v>430</v>
      </c>
      <c r="AW184" s="388">
        <f>SUM(AU184:AV184)</f>
        <v>38407</v>
      </c>
      <c r="AX184" s="388">
        <v>205</v>
      </c>
      <c r="AY184" s="388">
        <f>SUM(AW184:AX184)</f>
        <v>38612</v>
      </c>
      <c r="AZ184" s="388">
        <v>202</v>
      </c>
      <c r="BA184" s="388">
        <f>SUM(AY184:AZ184)</f>
        <v>38814</v>
      </c>
      <c r="BB184" s="388">
        <v>202</v>
      </c>
      <c r="BC184" s="388">
        <f>SUM(BA184:BB184)</f>
        <v>39016</v>
      </c>
      <c r="BD184" s="388">
        <v>214</v>
      </c>
      <c r="BE184" s="388">
        <f>SUM(BC184:BD184)</f>
        <v>39230</v>
      </c>
      <c r="BF184" s="388">
        <v>39955</v>
      </c>
      <c r="BG184" s="18">
        <v>650</v>
      </c>
      <c r="BH184" s="388">
        <f>SUM(BF184:BG184)</f>
        <v>40605</v>
      </c>
    </row>
    <row r="185" spans="1:60">
      <c r="A185" s="10" t="s">
        <v>67</v>
      </c>
      <c r="B185" s="19"/>
      <c r="C185" s="19">
        <f>SUM(B185:B185)</f>
        <v>0</v>
      </c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0" t="s">
        <v>12</v>
      </c>
      <c r="AM185" s="388">
        <v>6884</v>
      </c>
      <c r="AN185" s="388">
        <v>127</v>
      </c>
      <c r="AO185" s="388">
        <f t="shared" ref="AO185:AO186" si="363">SUM(AM185:AN185)</f>
        <v>7011</v>
      </c>
      <c r="AP185" s="388">
        <v>359</v>
      </c>
      <c r="AQ185" s="388">
        <f t="shared" ref="AQ185:AQ186" si="364">SUM(AO185:AP185)</f>
        <v>7370</v>
      </c>
      <c r="AR185" s="388">
        <v>42</v>
      </c>
      <c r="AS185" s="388">
        <f t="shared" ref="AS185:AS189" si="365">SUM(AQ185:AR185)</f>
        <v>7412</v>
      </c>
      <c r="AT185" s="388">
        <v>42</v>
      </c>
      <c r="AU185" s="388">
        <f t="shared" ref="AU185:AU186" si="366">SUM(AS185:AT185)</f>
        <v>7454</v>
      </c>
      <c r="AV185" s="388">
        <v>80</v>
      </c>
      <c r="AW185" s="388">
        <f t="shared" ref="AW185:AW186" si="367">SUM(AU185:AV185)</f>
        <v>7534</v>
      </c>
      <c r="AX185" s="388">
        <v>36</v>
      </c>
      <c r="AY185" s="388">
        <f t="shared" ref="AY185:AY186" si="368">SUM(AW185:AX185)</f>
        <v>7570</v>
      </c>
      <c r="AZ185" s="388">
        <v>36</v>
      </c>
      <c r="BA185" s="388">
        <f t="shared" ref="BA185:BA186" si="369">SUM(AY185:AZ185)</f>
        <v>7606</v>
      </c>
      <c r="BB185" s="388">
        <v>36</v>
      </c>
      <c r="BC185" s="388">
        <f t="shared" ref="BC185:BC186" si="370">SUM(BA185:BB185)</f>
        <v>7642</v>
      </c>
      <c r="BD185" s="388">
        <v>38</v>
      </c>
      <c r="BE185" s="388">
        <f t="shared" ref="BE185:BE191" si="371">SUM(BC185:BD185)</f>
        <v>7680</v>
      </c>
      <c r="BF185" s="388">
        <v>7061</v>
      </c>
      <c r="BG185" s="18">
        <v>114</v>
      </c>
      <c r="BH185" s="388">
        <f t="shared" ref="BH185:BH186" si="372">SUM(BF185:BG185)</f>
        <v>7175</v>
      </c>
    </row>
    <row r="186" spans="1:60">
      <c r="A186" s="10" t="s">
        <v>70</v>
      </c>
      <c r="B186" s="19"/>
      <c r="C186" s="19">
        <f>SUM(B186:B186)</f>
        <v>0</v>
      </c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4" t="s">
        <v>14</v>
      </c>
      <c r="AM186" s="388">
        <v>26825</v>
      </c>
      <c r="AN186" s="388"/>
      <c r="AO186" s="388">
        <f t="shared" si="363"/>
        <v>26825</v>
      </c>
      <c r="AP186" s="388">
        <v>175</v>
      </c>
      <c r="AQ186" s="388">
        <f t="shared" si="364"/>
        <v>27000</v>
      </c>
      <c r="AR186" s="388">
        <v>23058</v>
      </c>
      <c r="AS186" s="388">
        <f t="shared" si="365"/>
        <v>50058</v>
      </c>
      <c r="AT186" s="388">
        <f>350+69754</f>
        <v>70104</v>
      </c>
      <c r="AU186" s="388">
        <f t="shared" si="366"/>
        <v>120162</v>
      </c>
      <c r="AV186" s="388"/>
      <c r="AW186" s="388">
        <f t="shared" si="367"/>
        <v>120162</v>
      </c>
      <c r="AX186" s="388">
        <v>-42512</v>
      </c>
      <c r="AY186" s="388">
        <f t="shared" si="368"/>
        <v>77650</v>
      </c>
      <c r="AZ186" s="388">
        <v>500</v>
      </c>
      <c r="BA186" s="388">
        <f t="shared" si="369"/>
        <v>78150</v>
      </c>
      <c r="BB186" s="388"/>
      <c r="BC186" s="388">
        <f t="shared" si="370"/>
        <v>78150</v>
      </c>
      <c r="BD186" s="388"/>
      <c r="BE186" s="388">
        <f t="shared" si="371"/>
        <v>78150</v>
      </c>
      <c r="BF186" s="388">
        <v>9602</v>
      </c>
      <c r="BG186" s="18"/>
      <c r="BH186" s="388">
        <f t="shared" si="372"/>
        <v>9602</v>
      </c>
    </row>
    <row r="187" spans="1:60">
      <c r="A187" s="10" t="s">
        <v>72</v>
      </c>
      <c r="B187" s="19"/>
      <c r="C187" s="19">
        <f>SUM(B187:B187)</f>
        <v>0</v>
      </c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5" t="s">
        <v>16</v>
      </c>
      <c r="AM187" s="388"/>
      <c r="AN187" s="388"/>
      <c r="AO187" s="388"/>
      <c r="AP187" s="388"/>
      <c r="AQ187" s="388"/>
      <c r="AR187" s="388"/>
      <c r="AS187" s="388"/>
      <c r="AT187" s="388"/>
      <c r="AU187" s="388"/>
      <c r="AV187" s="388"/>
      <c r="AW187" s="388"/>
      <c r="AX187" s="388"/>
      <c r="AY187" s="388"/>
      <c r="AZ187" s="388"/>
      <c r="BA187" s="388"/>
      <c r="BB187" s="388"/>
      <c r="BC187" s="388"/>
      <c r="BD187" s="388"/>
      <c r="BE187" s="388">
        <f t="shared" si="371"/>
        <v>0</v>
      </c>
      <c r="BF187" s="388"/>
      <c r="BG187" s="18"/>
      <c r="BH187" s="388"/>
    </row>
    <row r="188" spans="1:60">
      <c r="A188" s="10" t="s">
        <v>79</v>
      </c>
      <c r="B188" s="13">
        <f t="shared" ref="B188:P188" si="373">B189+B190</f>
        <v>870</v>
      </c>
      <c r="C188" s="13">
        <f t="shared" si="373"/>
        <v>870</v>
      </c>
      <c r="D188" s="13">
        <f t="shared" si="373"/>
        <v>3362</v>
      </c>
      <c r="E188" s="13">
        <f t="shared" si="373"/>
        <v>4232</v>
      </c>
      <c r="F188" s="13">
        <f t="shared" si="373"/>
        <v>539</v>
      </c>
      <c r="G188" s="13">
        <f t="shared" si="373"/>
        <v>4771</v>
      </c>
      <c r="H188" s="13">
        <f t="shared" si="373"/>
        <v>772</v>
      </c>
      <c r="I188" s="13">
        <f t="shared" si="373"/>
        <v>5543</v>
      </c>
      <c r="J188" s="13">
        <f t="shared" si="373"/>
        <v>1777</v>
      </c>
      <c r="K188" s="13">
        <f t="shared" si="373"/>
        <v>7320</v>
      </c>
      <c r="L188" s="13">
        <f t="shared" si="373"/>
        <v>276</v>
      </c>
      <c r="M188" s="13">
        <f t="shared" si="373"/>
        <v>7596</v>
      </c>
      <c r="N188" s="13">
        <f t="shared" si="373"/>
        <v>276</v>
      </c>
      <c r="O188" s="13">
        <f t="shared" si="373"/>
        <v>55724</v>
      </c>
      <c r="P188" s="13">
        <f t="shared" si="373"/>
        <v>60941</v>
      </c>
      <c r="Q188" s="13">
        <f>Q189+Q190</f>
        <v>780</v>
      </c>
      <c r="R188" s="13">
        <f>R189+R190</f>
        <v>61721</v>
      </c>
      <c r="S188" s="13">
        <f t="shared" ref="S188:AK188" si="374">S189+S190</f>
        <v>3151</v>
      </c>
      <c r="T188" s="13">
        <f t="shared" si="374"/>
        <v>64872</v>
      </c>
      <c r="U188" s="13">
        <f t="shared" si="374"/>
        <v>23315</v>
      </c>
      <c r="V188" s="13">
        <f t="shared" si="374"/>
        <v>88187</v>
      </c>
      <c r="W188" s="13">
        <f t="shared" si="374"/>
        <v>257</v>
      </c>
      <c r="X188" s="13">
        <f t="shared" si="374"/>
        <v>88444</v>
      </c>
      <c r="Y188" s="13">
        <f t="shared" si="374"/>
        <v>510</v>
      </c>
      <c r="Z188" s="13">
        <f t="shared" si="374"/>
        <v>88954</v>
      </c>
      <c r="AA188" s="13">
        <f t="shared" si="374"/>
        <v>-42271</v>
      </c>
      <c r="AB188" s="13">
        <f t="shared" si="374"/>
        <v>46683</v>
      </c>
      <c r="AC188" s="13">
        <f t="shared" si="374"/>
        <v>238</v>
      </c>
      <c r="AD188" s="13">
        <f t="shared" si="374"/>
        <v>46921</v>
      </c>
      <c r="AE188" s="13">
        <f t="shared" si="374"/>
        <v>1483</v>
      </c>
      <c r="AF188" s="13">
        <f t="shared" si="374"/>
        <v>48404</v>
      </c>
      <c r="AG188" s="13">
        <f t="shared" si="374"/>
        <v>252</v>
      </c>
      <c r="AH188" s="13">
        <f t="shared" si="374"/>
        <v>48656</v>
      </c>
      <c r="AI188" s="13">
        <f t="shared" si="374"/>
        <v>44975</v>
      </c>
      <c r="AJ188" s="13">
        <f t="shared" si="374"/>
        <v>764</v>
      </c>
      <c r="AK188" s="13">
        <f t="shared" si="374"/>
        <v>45739</v>
      </c>
      <c r="AL188" s="14" t="s">
        <v>18</v>
      </c>
      <c r="AM188" s="388"/>
      <c r="AN188" s="388"/>
      <c r="AO188" s="388"/>
      <c r="AP188" s="388"/>
      <c r="AQ188" s="388"/>
      <c r="AR188" s="388"/>
      <c r="AS188" s="388"/>
      <c r="AT188" s="388"/>
      <c r="AU188" s="388">
        <f t="shared" ref="AU188:AU190" si="375">SUM(AS188:AT188)</f>
        <v>0</v>
      </c>
      <c r="AV188" s="388"/>
      <c r="AW188" s="388"/>
      <c r="AX188" s="388"/>
      <c r="AY188" s="388"/>
      <c r="AZ188" s="388"/>
      <c r="BA188" s="388"/>
      <c r="BB188" s="388"/>
      <c r="BC188" s="388"/>
      <c r="BD188" s="388"/>
      <c r="BE188" s="388">
        <f t="shared" si="371"/>
        <v>0</v>
      </c>
      <c r="BF188" s="388"/>
      <c r="BG188" s="18"/>
      <c r="BH188" s="388"/>
    </row>
    <row r="189" spans="1:60">
      <c r="A189" s="12" t="s">
        <v>93</v>
      </c>
      <c r="B189" s="19"/>
      <c r="C189" s="19">
        <f>SUM(B189:B189)</f>
        <v>0</v>
      </c>
      <c r="D189" s="19">
        <v>3362</v>
      </c>
      <c r="E189" s="19">
        <f>SUM(C189:D189)</f>
        <v>3362</v>
      </c>
      <c r="F189" s="19"/>
      <c r="G189" s="19">
        <f>SUM(E189:F189)</f>
        <v>3362</v>
      </c>
      <c r="H189" s="19"/>
      <c r="I189" s="19">
        <f>SUM(G189:H189)</f>
        <v>3362</v>
      </c>
      <c r="J189" s="19"/>
      <c r="K189" s="19">
        <f>SUM(I189:J189)</f>
        <v>3362</v>
      </c>
      <c r="L189" s="19"/>
      <c r="M189" s="19">
        <f>SUM(K189:L189)</f>
        <v>3362</v>
      </c>
      <c r="N189" s="19"/>
      <c r="O189" s="19">
        <f>SUM(M189:N189)</f>
        <v>3362</v>
      </c>
      <c r="P189" s="19"/>
      <c r="Q189" s="19"/>
      <c r="R189" s="19"/>
      <c r="S189" s="19">
        <v>2894</v>
      </c>
      <c r="T189" s="19">
        <f>SUM(R189:S189)</f>
        <v>2894</v>
      </c>
      <c r="U189" s="19"/>
      <c r="V189" s="19">
        <f>SUM(T189:U189)</f>
        <v>2894</v>
      </c>
      <c r="W189" s="19"/>
      <c r="X189" s="19">
        <f>SUM(V189:W189)</f>
        <v>2894</v>
      </c>
      <c r="Y189" s="19"/>
      <c r="Z189" s="19">
        <f>SUM(X189:Y189)</f>
        <v>2894</v>
      </c>
      <c r="AA189" s="19"/>
      <c r="AB189" s="19">
        <f>SUM(Z189:AA189)</f>
        <v>2894</v>
      </c>
      <c r="AC189" s="19"/>
      <c r="AD189" s="19">
        <f>SUM(AB189:AC189)</f>
        <v>2894</v>
      </c>
      <c r="AE189" s="19"/>
      <c r="AF189" s="19">
        <f>SUM(AD189:AE189)</f>
        <v>2894</v>
      </c>
      <c r="AG189" s="19"/>
      <c r="AH189" s="19">
        <f>SUM(AF189:AG189)</f>
        <v>2894</v>
      </c>
      <c r="AI189" s="19"/>
      <c r="AJ189" s="19"/>
      <c r="AK189" s="19"/>
      <c r="AL189" s="10" t="s">
        <v>37</v>
      </c>
      <c r="AM189" s="388">
        <v>447</v>
      </c>
      <c r="AN189" s="388"/>
      <c r="AO189" s="388">
        <f>SUM(AM189:AN189)</f>
        <v>447</v>
      </c>
      <c r="AP189" s="388">
        <v>597</v>
      </c>
      <c r="AQ189" s="388">
        <f t="shared" ref="AQ189" si="376">SUM(AO189:AP189)</f>
        <v>1044</v>
      </c>
      <c r="AR189" s="388"/>
      <c r="AS189" s="388">
        <f t="shared" si="365"/>
        <v>1044</v>
      </c>
      <c r="AT189" s="388"/>
      <c r="AU189" s="388">
        <f t="shared" si="375"/>
        <v>1044</v>
      </c>
      <c r="AV189" s="388"/>
      <c r="AW189" s="388">
        <f t="shared" ref="AW189" si="377">SUM(AU189:AV189)</f>
        <v>1044</v>
      </c>
      <c r="AX189" s="388"/>
      <c r="AY189" s="388">
        <f t="shared" ref="AY189" si="378">SUM(AW189:AX189)</f>
        <v>1044</v>
      </c>
      <c r="AZ189" s="388"/>
      <c r="BA189" s="388">
        <f t="shared" ref="BA189" si="379">SUM(AY189:AZ189)</f>
        <v>1044</v>
      </c>
      <c r="BB189" s="388">
        <v>1245</v>
      </c>
      <c r="BC189" s="388">
        <f t="shared" ref="BC189" si="380">SUM(BA189:BB189)</f>
        <v>2289</v>
      </c>
      <c r="BD189" s="388"/>
      <c r="BE189" s="388">
        <f t="shared" si="371"/>
        <v>2289</v>
      </c>
      <c r="BF189" s="388">
        <v>128</v>
      </c>
      <c r="BG189" s="18"/>
      <c r="BH189" s="388">
        <f>SUM(BF189:BG189)</f>
        <v>128</v>
      </c>
    </row>
    <row r="190" spans="1:60">
      <c r="A190" s="25" t="s">
        <v>95</v>
      </c>
      <c r="B190" s="19">
        <v>870</v>
      </c>
      <c r="C190" s="19">
        <f>SUM(B190:B190)</f>
        <v>870</v>
      </c>
      <c r="D190" s="19"/>
      <c r="E190" s="19">
        <f>SUM(C190:D190)</f>
        <v>870</v>
      </c>
      <c r="F190" s="19">
        <v>539</v>
      </c>
      <c r="G190" s="19">
        <f>SUM(E190:F190)</f>
        <v>1409</v>
      </c>
      <c r="H190" s="19">
        <v>772</v>
      </c>
      <c r="I190" s="19">
        <f>SUM(G190:H190)</f>
        <v>2181</v>
      </c>
      <c r="J190" s="19">
        <v>1777</v>
      </c>
      <c r="K190" s="19">
        <f>SUM(I190:J190)</f>
        <v>3958</v>
      </c>
      <c r="L190" s="19">
        <v>276</v>
      </c>
      <c r="M190" s="19">
        <f>SUM(K190:L190)</f>
        <v>4234</v>
      </c>
      <c r="N190" s="19">
        <v>276</v>
      </c>
      <c r="O190" s="19">
        <v>52362</v>
      </c>
      <c r="P190" s="19">
        <v>60941</v>
      </c>
      <c r="Q190" s="19">
        <v>780</v>
      </c>
      <c r="R190" s="19">
        <f>SUM(P190:Q190)</f>
        <v>61721</v>
      </c>
      <c r="S190" s="19">
        <v>257</v>
      </c>
      <c r="T190" s="19">
        <f>SUM(R190:S190)</f>
        <v>61978</v>
      </c>
      <c r="U190" s="19">
        <f>257+23058</f>
        <v>23315</v>
      </c>
      <c r="V190" s="19">
        <f>SUM(T190:U190)</f>
        <v>85293</v>
      </c>
      <c r="W190" s="19">
        <v>257</v>
      </c>
      <c r="X190" s="19">
        <f>SUM(V190:W190)</f>
        <v>85550</v>
      </c>
      <c r="Y190" s="19">
        <v>510</v>
      </c>
      <c r="Z190" s="19">
        <f>SUM(X190:Y190)</f>
        <v>86060</v>
      </c>
      <c r="AA190" s="19">
        <v>-42271</v>
      </c>
      <c r="AB190" s="19">
        <f>SUM(Z190:AA190)</f>
        <v>43789</v>
      </c>
      <c r="AC190" s="19">
        <v>238</v>
      </c>
      <c r="AD190" s="19">
        <f>SUM(AB190:AC190)</f>
        <v>44027</v>
      </c>
      <c r="AE190" s="19">
        <v>1483</v>
      </c>
      <c r="AF190" s="19">
        <f>SUM(AD190:AE190)</f>
        <v>45510</v>
      </c>
      <c r="AG190" s="19">
        <v>252</v>
      </c>
      <c r="AH190" s="19">
        <f>SUM(AF190:AG190)</f>
        <v>45762</v>
      </c>
      <c r="AI190" s="19">
        <f>56063-11088</f>
        <v>44975</v>
      </c>
      <c r="AJ190" s="19">
        <v>764</v>
      </c>
      <c r="AK190" s="19">
        <f>SUM(AI190:AJ190)</f>
        <v>45739</v>
      </c>
      <c r="AL190" s="10" t="s">
        <v>39</v>
      </c>
      <c r="AM190" s="388"/>
      <c r="AN190" s="388"/>
      <c r="AO190" s="388"/>
      <c r="AP190" s="388"/>
      <c r="AQ190" s="388"/>
      <c r="AR190" s="388"/>
      <c r="AS190" s="388"/>
      <c r="AT190" s="388"/>
      <c r="AU190" s="388">
        <f t="shared" si="375"/>
        <v>0</v>
      </c>
      <c r="AV190" s="388"/>
      <c r="AW190" s="388"/>
      <c r="AX190" s="388"/>
      <c r="AY190" s="388"/>
      <c r="AZ190" s="388"/>
      <c r="BA190" s="388"/>
      <c r="BB190" s="388"/>
      <c r="BC190" s="388"/>
      <c r="BD190" s="388"/>
      <c r="BE190" s="388">
        <f t="shared" si="371"/>
        <v>0</v>
      </c>
      <c r="BF190" s="388"/>
      <c r="BG190" s="18"/>
      <c r="BH190" s="18"/>
    </row>
    <row r="191" spans="1:60" ht="15.75">
      <c r="A191" s="10"/>
      <c r="B191" s="19"/>
      <c r="C191" s="19">
        <f>SUM(B191:B191)</f>
        <v>0</v>
      </c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355"/>
      <c r="AB191" s="355"/>
      <c r="AC191" s="355"/>
      <c r="AD191" s="355"/>
      <c r="AE191" s="355"/>
      <c r="AF191" s="355"/>
      <c r="AG191" s="355"/>
      <c r="AH191" s="355"/>
      <c r="AI191" s="355"/>
      <c r="AJ191" s="355"/>
      <c r="AK191" s="355"/>
      <c r="AL191" s="10" t="s">
        <v>40</v>
      </c>
      <c r="AM191" s="388"/>
      <c r="AN191" s="388"/>
      <c r="AO191" s="388"/>
      <c r="AP191" s="388"/>
      <c r="AQ191" s="388"/>
      <c r="AR191" s="388"/>
      <c r="AS191" s="388"/>
      <c r="AT191" s="388"/>
      <c r="AU191" s="388"/>
      <c r="AV191" s="388"/>
      <c r="AW191" s="388"/>
      <c r="AX191" s="388"/>
      <c r="AY191" s="388"/>
      <c r="AZ191" s="388"/>
      <c r="BA191" s="388"/>
      <c r="BB191" s="388"/>
      <c r="BC191" s="388"/>
      <c r="BD191" s="388"/>
      <c r="BE191" s="388">
        <f t="shared" si="371"/>
        <v>0</v>
      </c>
      <c r="BF191" s="388"/>
      <c r="BG191" s="18"/>
      <c r="BH191" s="18"/>
    </row>
    <row r="192" spans="1:60" ht="15.75">
      <c r="A192" s="32" t="s">
        <v>96</v>
      </c>
      <c r="B192" s="355">
        <f t="shared" ref="B192:O192" si="381">B184+B185+B186+B187+B188+B183</f>
        <v>1270</v>
      </c>
      <c r="C192" s="355">
        <f t="shared" si="381"/>
        <v>1270</v>
      </c>
      <c r="D192" s="355">
        <f t="shared" si="381"/>
        <v>3362</v>
      </c>
      <c r="E192" s="355">
        <f t="shared" si="381"/>
        <v>4632</v>
      </c>
      <c r="F192" s="355">
        <f t="shared" si="381"/>
        <v>539</v>
      </c>
      <c r="G192" s="355">
        <f t="shared" si="381"/>
        <v>5171</v>
      </c>
      <c r="H192" s="355">
        <f t="shared" si="381"/>
        <v>772</v>
      </c>
      <c r="I192" s="355">
        <f t="shared" si="381"/>
        <v>5943</v>
      </c>
      <c r="J192" s="355">
        <f t="shared" si="381"/>
        <v>2477</v>
      </c>
      <c r="K192" s="355">
        <f t="shared" si="381"/>
        <v>8420</v>
      </c>
      <c r="L192" s="355">
        <f t="shared" si="381"/>
        <v>276</v>
      </c>
      <c r="M192" s="355">
        <f t="shared" si="381"/>
        <v>8696</v>
      </c>
      <c r="N192" s="355">
        <f t="shared" si="381"/>
        <v>276</v>
      </c>
      <c r="O192" s="355">
        <f t="shared" si="381"/>
        <v>57324</v>
      </c>
      <c r="P192" s="355">
        <f>P184+P185+P186+P187+P188+P183</f>
        <v>69030</v>
      </c>
      <c r="Q192" s="355">
        <f t="shared" ref="Q192:AD192" si="382">Q184+Q185+Q186+Q187+Q188+Q183</f>
        <v>780</v>
      </c>
      <c r="R192" s="355">
        <f t="shared" si="382"/>
        <v>69810</v>
      </c>
      <c r="S192" s="355">
        <f t="shared" si="382"/>
        <v>3151</v>
      </c>
      <c r="T192" s="355">
        <f t="shared" si="382"/>
        <v>72961</v>
      </c>
      <c r="U192" s="355">
        <f t="shared" si="382"/>
        <v>23315</v>
      </c>
      <c r="V192" s="355">
        <f t="shared" si="382"/>
        <v>96276</v>
      </c>
      <c r="W192" s="355">
        <f t="shared" si="382"/>
        <v>70361</v>
      </c>
      <c r="X192" s="355">
        <f t="shared" si="382"/>
        <v>166637</v>
      </c>
      <c r="Y192" s="355">
        <f t="shared" si="382"/>
        <v>510</v>
      </c>
      <c r="Z192" s="355">
        <f t="shared" si="382"/>
        <v>167147</v>
      </c>
      <c r="AA192" s="355">
        <f t="shared" si="382"/>
        <v>-42271</v>
      </c>
      <c r="AB192" s="355">
        <f t="shared" si="382"/>
        <v>124876</v>
      </c>
      <c r="AC192" s="355">
        <f t="shared" si="382"/>
        <v>738</v>
      </c>
      <c r="AD192" s="355">
        <f t="shared" si="382"/>
        <v>125614</v>
      </c>
      <c r="AE192" s="355">
        <f t="shared" ref="AE192" si="383">AE184+AE185+AE186+AE187+AE188+AE183</f>
        <v>1483</v>
      </c>
      <c r="AF192" s="355">
        <f t="shared" ref="AF192:AH192" si="384">AF184+AF185+AF186+AF187+AF188+AF183</f>
        <v>127097</v>
      </c>
      <c r="AG192" s="355">
        <f t="shared" si="384"/>
        <v>252</v>
      </c>
      <c r="AH192" s="355">
        <f t="shared" si="384"/>
        <v>127349</v>
      </c>
      <c r="AI192" s="355">
        <f t="shared" ref="AI192:AJ192" si="385">AI184+AI185+AI186+AI187+AI188+AI183</f>
        <v>56746</v>
      </c>
      <c r="AJ192" s="355">
        <f t="shared" si="385"/>
        <v>764</v>
      </c>
      <c r="AK192" s="355">
        <f t="shared" ref="AK192" si="386">AK184+AK185+AK186+AK187+AK188+AK183</f>
        <v>57510</v>
      </c>
      <c r="AL192" s="32" t="s">
        <v>97</v>
      </c>
      <c r="AM192" s="425">
        <f>SUM(AM184:AM191)</f>
        <v>69030</v>
      </c>
      <c r="AN192" s="425">
        <f t="shared" ref="AN192:BA192" si="387">SUM(AN184:AN191)</f>
        <v>780</v>
      </c>
      <c r="AO192" s="425">
        <f t="shared" si="387"/>
        <v>69810</v>
      </c>
      <c r="AP192" s="425">
        <f t="shared" si="387"/>
        <v>3151</v>
      </c>
      <c r="AQ192" s="425">
        <f t="shared" si="387"/>
        <v>72961</v>
      </c>
      <c r="AR192" s="425">
        <f t="shared" si="387"/>
        <v>23315</v>
      </c>
      <c r="AS192" s="425">
        <f t="shared" si="387"/>
        <v>96276</v>
      </c>
      <c r="AT192" s="425">
        <f t="shared" si="387"/>
        <v>70361</v>
      </c>
      <c r="AU192" s="425">
        <f t="shared" si="387"/>
        <v>166637</v>
      </c>
      <c r="AV192" s="425">
        <f t="shared" si="387"/>
        <v>510</v>
      </c>
      <c r="AW192" s="425">
        <f t="shared" si="387"/>
        <v>167147</v>
      </c>
      <c r="AX192" s="425">
        <f t="shared" si="387"/>
        <v>-42271</v>
      </c>
      <c r="AY192" s="425">
        <f t="shared" si="387"/>
        <v>124876</v>
      </c>
      <c r="AZ192" s="425">
        <f t="shared" si="387"/>
        <v>738</v>
      </c>
      <c r="BA192" s="425">
        <f t="shared" si="387"/>
        <v>125614</v>
      </c>
      <c r="BB192" s="425">
        <f t="shared" ref="BB192:BC192" si="388">SUM(BB184:BB191)</f>
        <v>1483</v>
      </c>
      <c r="BC192" s="425">
        <f t="shared" si="388"/>
        <v>127097</v>
      </c>
      <c r="BD192" s="425">
        <f t="shared" ref="BD192:BE192" si="389">SUM(BD184:BD191)</f>
        <v>252</v>
      </c>
      <c r="BE192" s="425">
        <f t="shared" si="389"/>
        <v>127349</v>
      </c>
      <c r="BF192" s="425">
        <f t="shared" ref="BF192:BH192" si="390">SUM(BF184:BF191)</f>
        <v>56746</v>
      </c>
      <c r="BG192" s="425">
        <f t="shared" si="390"/>
        <v>764</v>
      </c>
      <c r="BH192" s="425">
        <f t="shared" si="390"/>
        <v>57510</v>
      </c>
    </row>
    <row r="193" spans="1:60" ht="15.75">
      <c r="A193" s="34" t="s">
        <v>88</v>
      </c>
      <c r="B193" s="35">
        <f>B184+B188+B183</f>
        <v>1270</v>
      </c>
      <c r="C193" s="35">
        <f>C184+C188+C183</f>
        <v>1270</v>
      </c>
      <c r="D193" s="35">
        <f t="shared" ref="D193:O193" si="391">D184+D188+D183</f>
        <v>3362</v>
      </c>
      <c r="E193" s="35">
        <f t="shared" si="391"/>
        <v>4632</v>
      </c>
      <c r="F193" s="35">
        <f t="shared" si="391"/>
        <v>539</v>
      </c>
      <c r="G193" s="35">
        <f t="shared" si="391"/>
        <v>5171</v>
      </c>
      <c r="H193" s="35">
        <f t="shared" si="391"/>
        <v>772</v>
      </c>
      <c r="I193" s="35">
        <f t="shared" si="391"/>
        <v>5943</v>
      </c>
      <c r="J193" s="35">
        <f t="shared" si="391"/>
        <v>2477</v>
      </c>
      <c r="K193" s="35">
        <f t="shared" si="391"/>
        <v>8420</v>
      </c>
      <c r="L193" s="35">
        <f t="shared" si="391"/>
        <v>276</v>
      </c>
      <c r="M193" s="35">
        <f t="shared" si="391"/>
        <v>8696</v>
      </c>
      <c r="N193" s="35">
        <f t="shared" si="391"/>
        <v>276</v>
      </c>
      <c r="O193" s="35">
        <f t="shared" si="391"/>
        <v>57324</v>
      </c>
      <c r="P193" s="35">
        <f>P184+P188+P183</f>
        <v>69030</v>
      </c>
      <c r="Q193" s="35">
        <f t="shared" ref="Q193:AD193" si="392">Q184+Q188+Q183</f>
        <v>780</v>
      </c>
      <c r="R193" s="35">
        <f t="shared" si="392"/>
        <v>69810</v>
      </c>
      <c r="S193" s="35">
        <f t="shared" si="392"/>
        <v>3151</v>
      </c>
      <c r="T193" s="35">
        <f t="shared" si="392"/>
        <v>72961</v>
      </c>
      <c r="U193" s="35">
        <f t="shared" si="392"/>
        <v>23315</v>
      </c>
      <c r="V193" s="35">
        <f t="shared" si="392"/>
        <v>96276</v>
      </c>
      <c r="W193" s="35">
        <f t="shared" si="392"/>
        <v>70361</v>
      </c>
      <c r="X193" s="35">
        <f t="shared" si="392"/>
        <v>166637</v>
      </c>
      <c r="Y193" s="35">
        <f t="shared" si="392"/>
        <v>510</v>
      </c>
      <c r="Z193" s="35">
        <f t="shared" si="392"/>
        <v>167147</v>
      </c>
      <c r="AA193" s="35">
        <f t="shared" si="392"/>
        <v>-42271</v>
      </c>
      <c r="AB193" s="35">
        <f t="shared" si="392"/>
        <v>124876</v>
      </c>
      <c r="AC193" s="35">
        <f t="shared" si="392"/>
        <v>738</v>
      </c>
      <c r="AD193" s="35">
        <f t="shared" si="392"/>
        <v>125614</v>
      </c>
      <c r="AE193" s="35">
        <f t="shared" ref="AE193" si="393">AE184+AE188+AE183</f>
        <v>1483</v>
      </c>
      <c r="AF193" s="35">
        <f t="shared" ref="AF193:AH193" si="394">AF184+AF188+AF183</f>
        <v>127097</v>
      </c>
      <c r="AG193" s="35">
        <f t="shared" si="394"/>
        <v>252</v>
      </c>
      <c r="AH193" s="35">
        <f t="shared" si="394"/>
        <v>127349</v>
      </c>
      <c r="AI193" s="35">
        <f t="shared" ref="AI193:AJ193" si="395">AI184+AI188+AI183</f>
        <v>56746</v>
      </c>
      <c r="AJ193" s="35">
        <f t="shared" si="395"/>
        <v>764</v>
      </c>
      <c r="AK193" s="35">
        <f t="shared" ref="AK193" si="396">AK184+AK188+AK183</f>
        <v>57510</v>
      </c>
      <c r="AL193" s="34" t="s">
        <v>89</v>
      </c>
      <c r="AM193" s="426">
        <f>AM184+AM185+AM186+AM188</f>
        <v>68583</v>
      </c>
      <c r="AN193" s="426">
        <f t="shared" ref="AN193:BE193" si="397">AN184+AN185+AN186+AN188</f>
        <v>780</v>
      </c>
      <c r="AO193" s="426">
        <f t="shared" si="397"/>
        <v>69363</v>
      </c>
      <c r="AP193" s="426">
        <f t="shared" si="397"/>
        <v>2554</v>
      </c>
      <c r="AQ193" s="426">
        <f t="shared" si="397"/>
        <v>71917</v>
      </c>
      <c r="AR193" s="426">
        <f t="shared" si="397"/>
        <v>23315</v>
      </c>
      <c r="AS193" s="426">
        <f t="shared" si="397"/>
        <v>95232</v>
      </c>
      <c r="AT193" s="426">
        <f t="shared" si="397"/>
        <v>70361</v>
      </c>
      <c r="AU193" s="426">
        <f t="shared" si="397"/>
        <v>165593</v>
      </c>
      <c r="AV193" s="426">
        <f t="shared" si="397"/>
        <v>510</v>
      </c>
      <c r="AW193" s="426">
        <f t="shared" si="397"/>
        <v>166103</v>
      </c>
      <c r="AX193" s="426">
        <f t="shared" si="397"/>
        <v>-42271</v>
      </c>
      <c r="AY193" s="426">
        <f t="shared" si="397"/>
        <v>123832</v>
      </c>
      <c r="AZ193" s="426">
        <f t="shared" si="397"/>
        <v>738</v>
      </c>
      <c r="BA193" s="426">
        <f t="shared" si="397"/>
        <v>124570</v>
      </c>
      <c r="BB193" s="426">
        <f t="shared" si="397"/>
        <v>238</v>
      </c>
      <c r="BC193" s="426">
        <f t="shared" si="397"/>
        <v>124808</v>
      </c>
      <c r="BD193" s="426">
        <f t="shared" si="397"/>
        <v>252</v>
      </c>
      <c r="BE193" s="426">
        <f t="shared" si="397"/>
        <v>125060</v>
      </c>
      <c r="BF193" s="426">
        <f t="shared" ref="BF193:BH193" si="398">BF184+BF185+BF186+BF188</f>
        <v>56618</v>
      </c>
      <c r="BG193" s="426">
        <f t="shared" si="398"/>
        <v>764</v>
      </c>
      <c r="BH193" s="426">
        <f t="shared" si="398"/>
        <v>57382</v>
      </c>
    </row>
    <row r="194" spans="1:60" ht="15.75">
      <c r="A194" s="34" t="s">
        <v>90</v>
      </c>
      <c r="B194" s="35">
        <f t="shared" ref="B194:O194" si="399">B185+B187</f>
        <v>0</v>
      </c>
      <c r="C194" s="35">
        <f t="shared" si="399"/>
        <v>0</v>
      </c>
      <c r="D194" s="35">
        <f t="shared" si="399"/>
        <v>0</v>
      </c>
      <c r="E194" s="35">
        <f t="shared" si="399"/>
        <v>0</v>
      </c>
      <c r="F194" s="35">
        <f t="shared" si="399"/>
        <v>0</v>
      </c>
      <c r="G194" s="35">
        <f t="shared" si="399"/>
        <v>0</v>
      </c>
      <c r="H194" s="35">
        <f t="shared" si="399"/>
        <v>0</v>
      </c>
      <c r="I194" s="35">
        <f t="shared" si="399"/>
        <v>0</v>
      </c>
      <c r="J194" s="35">
        <f t="shared" si="399"/>
        <v>0</v>
      </c>
      <c r="K194" s="35">
        <f t="shared" si="399"/>
        <v>0</v>
      </c>
      <c r="L194" s="35">
        <f t="shared" si="399"/>
        <v>0</v>
      </c>
      <c r="M194" s="35">
        <f t="shared" si="399"/>
        <v>0</v>
      </c>
      <c r="N194" s="35">
        <f t="shared" si="399"/>
        <v>0</v>
      </c>
      <c r="O194" s="35">
        <f t="shared" si="399"/>
        <v>0</v>
      </c>
      <c r="P194" s="35">
        <f>P185+P187</f>
        <v>0</v>
      </c>
      <c r="Q194" s="35">
        <f t="shared" ref="Q194:AD194" si="400">Q185+Q187</f>
        <v>0</v>
      </c>
      <c r="R194" s="35">
        <f t="shared" si="400"/>
        <v>0</v>
      </c>
      <c r="S194" s="35">
        <f t="shared" si="400"/>
        <v>0</v>
      </c>
      <c r="T194" s="35">
        <f t="shared" si="400"/>
        <v>0</v>
      </c>
      <c r="U194" s="35">
        <f t="shared" si="400"/>
        <v>0</v>
      </c>
      <c r="V194" s="35">
        <f t="shared" si="400"/>
        <v>0</v>
      </c>
      <c r="W194" s="35">
        <f t="shared" si="400"/>
        <v>0</v>
      </c>
      <c r="X194" s="35">
        <f t="shared" si="400"/>
        <v>0</v>
      </c>
      <c r="Y194" s="35">
        <f t="shared" si="400"/>
        <v>0</v>
      </c>
      <c r="Z194" s="35">
        <f t="shared" si="400"/>
        <v>0</v>
      </c>
      <c r="AA194" s="35">
        <f t="shared" si="400"/>
        <v>0</v>
      </c>
      <c r="AB194" s="35">
        <f t="shared" si="400"/>
        <v>0</v>
      </c>
      <c r="AC194" s="35">
        <f t="shared" si="400"/>
        <v>0</v>
      </c>
      <c r="AD194" s="35">
        <f t="shared" si="400"/>
        <v>0</v>
      </c>
      <c r="AE194" s="35">
        <f t="shared" ref="AE194" si="401">AE185+AE187</f>
        <v>0</v>
      </c>
      <c r="AF194" s="35">
        <f t="shared" ref="AF194:AH194" si="402">AF185+AF187</f>
        <v>0</v>
      </c>
      <c r="AG194" s="35">
        <f t="shared" si="402"/>
        <v>0</v>
      </c>
      <c r="AH194" s="35">
        <f t="shared" si="402"/>
        <v>0</v>
      </c>
      <c r="AI194" s="35">
        <f t="shared" ref="AI194:AJ194" si="403">AI185+AI187</f>
        <v>0</v>
      </c>
      <c r="AJ194" s="35">
        <f t="shared" si="403"/>
        <v>0</v>
      </c>
      <c r="AK194" s="35">
        <f t="shared" ref="AK194" si="404">AK185+AK187</f>
        <v>0</v>
      </c>
      <c r="AL194" s="34" t="s">
        <v>91</v>
      </c>
      <c r="AM194" s="426">
        <f>AM189+AM190+AM191</f>
        <v>447</v>
      </c>
      <c r="AN194" s="426">
        <f t="shared" ref="AN194:BE194" si="405">AN189+AN190+AN191</f>
        <v>0</v>
      </c>
      <c r="AO194" s="426">
        <f t="shared" si="405"/>
        <v>447</v>
      </c>
      <c r="AP194" s="426">
        <f t="shared" si="405"/>
        <v>597</v>
      </c>
      <c r="AQ194" s="426">
        <f t="shared" si="405"/>
        <v>1044</v>
      </c>
      <c r="AR194" s="426">
        <f t="shared" si="405"/>
        <v>0</v>
      </c>
      <c r="AS194" s="426">
        <f t="shared" si="405"/>
        <v>1044</v>
      </c>
      <c r="AT194" s="426">
        <f t="shared" si="405"/>
        <v>0</v>
      </c>
      <c r="AU194" s="426">
        <f t="shared" si="405"/>
        <v>1044</v>
      </c>
      <c r="AV194" s="426">
        <f t="shared" si="405"/>
        <v>0</v>
      </c>
      <c r="AW194" s="426">
        <f t="shared" si="405"/>
        <v>1044</v>
      </c>
      <c r="AX194" s="426">
        <f t="shared" si="405"/>
        <v>0</v>
      </c>
      <c r="AY194" s="426">
        <f t="shared" si="405"/>
        <v>1044</v>
      </c>
      <c r="AZ194" s="426">
        <f t="shared" si="405"/>
        <v>0</v>
      </c>
      <c r="BA194" s="426">
        <f t="shared" si="405"/>
        <v>1044</v>
      </c>
      <c r="BB194" s="426">
        <f t="shared" si="405"/>
        <v>1245</v>
      </c>
      <c r="BC194" s="426">
        <f t="shared" si="405"/>
        <v>2289</v>
      </c>
      <c r="BD194" s="426">
        <f t="shared" si="405"/>
        <v>0</v>
      </c>
      <c r="BE194" s="426">
        <f t="shared" si="405"/>
        <v>2289</v>
      </c>
      <c r="BF194" s="426">
        <f t="shared" ref="BF194:BH194" si="406">BF189+BF190+BF191</f>
        <v>128</v>
      </c>
      <c r="BG194" s="426">
        <f t="shared" si="406"/>
        <v>0</v>
      </c>
      <c r="BH194" s="426">
        <f t="shared" si="406"/>
        <v>128</v>
      </c>
    </row>
    <row r="195" spans="1:60" ht="15.75">
      <c r="A195" s="709" t="s">
        <v>102</v>
      </c>
      <c r="B195" s="710"/>
      <c r="C195" s="710"/>
      <c r="D195" s="710"/>
      <c r="E195" s="710"/>
      <c r="F195" s="710"/>
      <c r="G195" s="710"/>
      <c r="H195" s="710"/>
      <c r="I195" s="710"/>
      <c r="J195" s="710"/>
      <c r="K195" s="710"/>
      <c r="L195" s="710"/>
      <c r="M195" s="710"/>
      <c r="N195" s="710"/>
      <c r="O195" s="710"/>
      <c r="P195" s="710"/>
      <c r="Q195" s="710"/>
      <c r="R195" s="710"/>
      <c r="S195" s="710"/>
      <c r="T195" s="710"/>
      <c r="U195" s="710"/>
      <c r="V195" s="710"/>
      <c r="W195" s="710"/>
      <c r="X195" s="710"/>
      <c r="Y195" s="710"/>
      <c r="Z195" s="710"/>
      <c r="AA195" s="710"/>
      <c r="AB195" s="710"/>
      <c r="AC195" s="710"/>
      <c r="AD195" s="710"/>
      <c r="AE195" s="710"/>
      <c r="AF195" s="710"/>
      <c r="AG195" s="710"/>
      <c r="AH195" s="710"/>
      <c r="AI195" s="710"/>
      <c r="AJ195" s="710"/>
      <c r="AK195" s="710"/>
      <c r="AL195" s="710"/>
      <c r="AM195" s="710"/>
      <c r="AN195" s="710"/>
      <c r="AO195" s="710"/>
      <c r="AP195" s="710"/>
      <c r="AQ195" s="710"/>
      <c r="AR195" s="710"/>
      <c r="AS195" s="710"/>
      <c r="AT195" s="710"/>
      <c r="AU195" s="710"/>
      <c r="AV195" s="710"/>
      <c r="AW195" s="710"/>
      <c r="AX195" s="710"/>
      <c r="AY195" s="710"/>
      <c r="AZ195" s="710"/>
      <c r="BA195" s="710"/>
      <c r="BB195" s="710"/>
      <c r="BC195" s="710"/>
      <c r="BD195" s="710"/>
      <c r="BE195" s="710"/>
      <c r="BF195" s="710"/>
      <c r="BG195" s="710"/>
      <c r="BH195" s="711"/>
    </row>
    <row r="196" spans="1:60" ht="15.75">
      <c r="A196" s="39" t="s">
        <v>9</v>
      </c>
      <c r="B196" s="19"/>
      <c r="C196" s="19">
        <f>SUM(B196:B196)</f>
        <v>0</v>
      </c>
      <c r="D196" s="19"/>
      <c r="E196" s="19">
        <f>SUM(C196:D196)</f>
        <v>0</v>
      </c>
      <c r="F196" s="19"/>
      <c r="G196" s="19">
        <f>SUM(E196:F196)</f>
        <v>0</v>
      </c>
      <c r="H196" s="19"/>
      <c r="I196" s="19">
        <f>SUM(G196:H196)</f>
        <v>0</v>
      </c>
      <c r="J196" s="19"/>
      <c r="K196" s="19">
        <f>SUM(I196:J196)</f>
        <v>0</v>
      </c>
      <c r="L196" s="19"/>
      <c r="M196" s="19">
        <f>SUM(K196:L196)</f>
        <v>0</v>
      </c>
      <c r="N196" s="19"/>
      <c r="O196" s="19">
        <f>SUM(M196:N196)</f>
        <v>0</v>
      </c>
      <c r="P196" s="19">
        <v>92368</v>
      </c>
      <c r="Q196" s="19"/>
      <c r="R196" s="19">
        <f>SUM(P196:Q196)</f>
        <v>92368</v>
      </c>
      <c r="S196" s="19"/>
      <c r="T196" s="19">
        <f>SUM(R196:S196)</f>
        <v>92368</v>
      </c>
      <c r="U196" s="19"/>
      <c r="V196" s="19">
        <f>SUM(T196:U196)</f>
        <v>92368</v>
      </c>
      <c r="W196" s="19"/>
      <c r="X196" s="19">
        <f>SUM(V196:W196)</f>
        <v>92368</v>
      </c>
      <c r="Y196" s="19"/>
      <c r="Z196" s="19">
        <f>SUM(X196:Y196)</f>
        <v>92368</v>
      </c>
      <c r="AA196" s="19"/>
      <c r="AB196" s="19">
        <f>SUM(Z196:AA196)</f>
        <v>92368</v>
      </c>
      <c r="AC196" s="19"/>
      <c r="AD196" s="19">
        <f>SUM(AB196:AC196)</f>
        <v>92368</v>
      </c>
      <c r="AE196" s="19">
        <v>9462</v>
      </c>
      <c r="AF196" s="19">
        <f>SUM(AD196:AE196)</f>
        <v>101830</v>
      </c>
      <c r="AG196" s="19"/>
      <c r="AH196" s="19">
        <f>SUM(AF196:AG196)</f>
        <v>101830</v>
      </c>
      <c r="AI196" s="19">
        <v>126905</v>
      </c>
      <c r="AJ196" s="19"/>
      <c r="AK196" s="19">
        <f>SUM(AI196:AJ196)</f>
        <v>126905</v>
      </c>
      <c r="AL196" s="11" t="s">
        <v>10</v>
      </c>
      <c r="AM196" s="388">
        <v>70489</v>
      </c>
      <c r="AN196" s="388">
        <v>73</v>
      </c>
      <c r="AO196" s="388">
        <f>SUM(AM196:AN196)</f>
        <v>70562</v>
      </c>
      <c r="AP196" s="388">
        <v>1525</v>
      </c>
      <c r="AQ196" s="388">
        <f>SUM(AO196:AP196)</f>
        <v>72087</v>
      </c>
      <c r="AR196" s="388">
        <v>25</v>
      </c>
      <c r="AS196" s="388">
        <f>SUM(AQ196:AR196)</f>
        <v>72112</v>
      </c>
      <c r="AT196" s="388">
        <v>25</v>
      </c>
      <c r="AU196" s="388">
        <f>SUM(AS196:AT196)</f>
        <v>72137</v>
      </c>
      <c r="AV196" s="388">
        <f>50</f>
        <v>50</v>
      </c>
      <c r="AW196" s="388">
        <f>SUM(AU196:AV196)</f>
        <v>72187</v>
      </c>
      <c r="AX196" s="388">
        <v>180</v>
      </c>
      <c r="AY196" s="388">
        <f>SUM(AW196:AX196)</f>
        <v>72367</v>
      </c>
      <c r="AZ196" s="388">
        <v>180</v>
      </c>
      <c r="BA196" s="388">
        <f>SUM(AY196:AZ196)</f>
        <v>72547</v>
      </c>
      <c r="BB196" s="388">
        <v>8180</v>
      </c>
      <c r="BC196" s="388">
        <f>SUM(BA196:BB196)</f>
        <v>80727</v>
      </c>
      <c r="BD196" s="388">
        <v>180</v>
      </c>
      <c r="BE196" s="388">
        <f>SUM(BC196:BD196)</f>
        <v>80907</v>
      </c>
      <c r="BF196" s="388">
        <v>102455</v>
      </c>
      <c r="BG196" s="18">
        <v>350</v>
      </c>
      <c r="BH196" s="388">
        <f>SUM(BF196:BG196)</f>
        <v>102805</v>
      </c>
    </row>
    <row r="197" spans="1:60">
      <c r="A197" s="10" t="s">
        <v>59</v>
      </c>
      <c r="B197" s="19"/>
      <c r="C197" s="19">
        <f>SUM(B197:B197)</f>
        <v>0</v>
      </c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0" t="s">
        <v>12</v>
      </c>
      <c r="AM197" s="388">
        <v>14116</v>
      </c>
      <c r="AN197" s="388">
        <v>13</v>
      </c>
      <c r="AO197" s="388">
        <f t="shared" ref="AO197:AO198" si="407">SUM(AM197:AN197)</f>
        <v>14129</v>
      </c>
      <c r="AP197" s="388">
        <v>297</v>
      </c>
      <c r="AQ197" s="388">
        <f t="shared" ref="AQ197:AQ198" si="408">SUM(AO197:AP197)</f>
        <v>14426</v>
      </c>
      <c r="AR197" s="388">
        <v>4</v>
      </c>
      <c r="AS197" s="388">
        <f t="shared" ref="AS197:AS201" si="409">SUM(AQ197:AR197)</f>
        <v>14430</v>
      </c>
      <c r="AT197" s="388">
        <v>4</v>
      </c>
      <c r="AU197" s="388">
        <f t="shared" ref="AU197:AU198" si="410">SUM(AS197:AT197)</f>
        <v>14434</v>
      </c>
      <c r="AV197" s="388">
        <f>8</f>
        <v>8</v>
      </c>
      <c r="AW197" s="388">
        <f t="shared" ref="AW197:AW198" si="411">SUM(AU197:AV197)</f>
        <v>14442</v>
      </c>
      <c r="AX197" s="388">
        <v>31</v>
      </c>
      <c r="AY197" s="388">
        <f t="shared" ref="AY197:AY198" si="412">SUM(AW197:AX197)</f>
        <v>14473</v>
      </c>
      <c r="AZ197" s="388">
        <v>31</v>
      </c>
      <c r="BA197" s="388">
        <f t="shared" ref="BA197:BA198" si="413">SUM(AY197:AZ197)</f>
        <v>14504</v>
      </c>
      <c r="BB197" s="388">
        <v>381</v>
      </c>
      <c r="BC197" s="388">
        <f t="shared" ref="BC197:BC198" si="414">SUM(BA197:BB197)</f>
        <v>14885</v>
      </c>
      <c r="BD197" s="388">
        <v>31</v>
      </c>
      <c r="BE197" s="388">
        <f t="shared" ref="BE197:BE203" si="415">SUM(BC197:BD197)</f>
        <v>14916</v>
      </c>
      <c r="BF197" s="388">
        <v>17918</v>
      </c>
      <c r="BG197" s="18">
        <v>61</v>
      </c>
      <c r="BH197" s="388">
        <f t="shared" ref="BH197:BH198" si="416">SUM(BF197:BG197)</f>
        <v>17979</v>
      </c>
    </row>
    <row r="198" spans="1:60">
      <c r="A198" s="10" t="s">
        <v>67</v>
      </c>
      <c r="B198" s="19"/>
      <c r="C198" s="19">
        <f>SUM(B198:B198)</f>
        <v>0</v>
      </c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4" t="s">
        <v>14</v>
      </c>
      <c r="AM198" s="388">
        <v>6933</v>
      </c>
      <c r="AN198" s="388"/>
      <c r="AO198" s="388">
        <f t="shared" si="407"/>
        <v>6933</v>
      </c>
      <c r="AP198" s="388">
        <v>970</v>
      </c>
      <c r="AQ198" s="388">
        <f t="shared" si="408"/>
        <v>7903</v>
      </c>
      <c r="AR198" s="388"/>
      <c r="AS198" s="388">
        <f t="shared" si="409"/>
        <v>7903</v>
      </c>
      <c r="AT198" s="388"/>
      <c r="AU198" s="388">
        <f t="shared" si="410"/>
        <v>7903</v>
      </c>
      <c r="AV198" s="388"/>
      <c r="AW198" s="388">
        <f t="shared" si="411"/>
        <v>7903</v>
      </c>
      <c r="AX198" s="388"/>
      <c r="AY198" s="388">
        <f t="shared" si="412"/>
        <v>7903</v>
      </c>
      <c r="AZ198" s="388"/>
      <c r="BA198" s="388">
        <f t="shared" si="413"/>
        <v>7903</v>
      </c>
      <c r="BB198" s="388">
        <v>1112</v>
      </c>
      <c r="BC198" s="388">
        <f t="shared" si="414"/>
        <v>9015</v>
      </c>
      <c r="BD198" s="388"/>
      <c r="BE198" s="388">
        <f t="shared" si="415"/>
        <v>9015</v>
      </c>
      <c r="BF198" s="388">
        <v>6432</v>
      </c>
      <c r="BG198" s="18"/>
      <c r="BH198" s="388">
        <f t="shared" si="416"/>
        <v>6432</v>
      </c>
    </row>
    <row r="199" spans="1:60">
      <c r="A199" s="10" t="s">
        <v>70</v>
      </c>
      <c r="B199" s="19"/>
      <c r="C199" s="19">
        <f>SUM(B199:B199)</f>
        <v>0</v>
      </c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5" t="s">
        <v>16</v>
      </c>
      <c r="AM199" s="388"/>
      <c r="AN199" s="388"/>
      <c r="AO199" s="388"/>
      <c r="AP199" s="388"/>
      <c r="AQ199" s="388"/>
      <c r="AR199" s="388"/>
      <c r="AS199" s="388"/>
      <c r="AT199" s="388"/>
      <c r="AU199" s="388"/>
      <c r="AV199" s="388"/>
      <c r="AW199" s="388"/>
      <c r="AX199" s="388"/>
      <c r="AY199" s="388"/>
      <c r="AZ199" s="388"/>
      <c r="BA199" s="388"/>
      <c r="BB199" s="388"/>
      <c r="BC199" s="388"/>
      <c r="BD199" s="388"/>
      <c r="BE199" s="388">
        <f t="shared" si="415"/>
        <v>0</v>
      </c>
      <c r="BF199" s="388"/>
      <c r="BG199" s="18"/>
      <c r="BH199" s="388"/>
    </row>
    <row r="200" spans="1:60">
      <c r="A200" s="10" t="s">
        <v>72</v>
      </c>
      <c r="B200" s="19"/>
      <c r="C200" s="19">
        <f>SUM(B200:B200)</f>
        <v>0</v>
      </c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3"/>
      <c r="AK200" s="13"/>
      <c r="AL200" s="14" t="s">
        <v>18</v>
      </c>
      <c r="AM200" s="388"/>
      <c r="AN200" s="388"/>
      <c r="AO200" s="388"/>
      <c r="AP200" s="388"/>
      <c r="AQ200" s="388"/>
      <c r="AR200" s="388"/>
      <c r="AS200" s="388"/>
      <c r="AT200" s="388"/>
      <c r="AU200" s="388">
        <f t="shared" ref="AU200:AU202" si="417">SUM(AS200:AT200)</f>
        <v>0</v>
      </c>
      <c r="AV200" s="388"/>
      <c r="AW200" s="388"/>
      <c r="AX200" s="388"/>
      <c r="AY200" s="388"/>
      <c r="AZ200" s="388"/>
      <c r="BA200" s="388"/>
      <c r="BB200" s="388"/>
      <c r="BC200" s="388"/>
      <c r="BD200" s="388"/>
      <c r="BE200" s="388">
        <f t="shared" si="415"/>
        <v>0</v>
      </c>
      <c r="BF200" s="388"/>
      <c r="BG200" s="18"/>
      <c r="BH200" s="388"/>
    </row>
    <row r="201" spans="1:60">
      <c r="A201" s="10" t="s">
        <v>79</v>
      </c>
      <c r="B201" s="13">
        <f t="shared" ref="B201:AK201" si="418">B202+B203</f>
        <v>172</v>
      </c>
      <c r="C201" s="13">
        <f t="shared" si="418"/>
        <v>172</v>
      </c>
      <c r="D201" s="13">
        <f t="shared" si="418"/>
        <v>8046</v>
      </c>
      <c r="E201" s="13">
        <f t="shared" si="418"/>
        <v>8218</v>
      </c>
      <c r="F201" s="13">
        <f t="shared" si="418"/>
        <v>121</v>
      </c>
      <c r="G201" s="13">
        <f t="shared" si="418"/>
        <v>8339</v>
      </c>
      <c r="H201" s="13">
        <f t="shared" si="418"/>
        <v>65</v>
      </c>
      <c r="I201" s="13">
        <f t="shared" si="418"/>
        <v>8404</v>
      </c>
      <c r="J201" s="13">
        <f t="shared" si="418"/>
        <v>114</v>
      </c>
      <c r="K201" s="13">
        <f t="shared" si="418"/>
        <v>8518</v>
      </c>
      <c r="L201" s="13">
        <f t="shared" si="418"/>
        <v>57</v>
      </c>
      <c r="M201" s="13">
        <f t="shared" si="418"/>
        <v>8575</v>
      </c>
      <c r="N201" s="13">
        <f t="shared" si="418"/>
        <v>57</v>
      </c>
      <c r="O201" s="13">
        <f t="shared" si="418"/>
        <v>8689</v>
      </c>
      <c r="P201" s="13">
        <f>P202+P203</f>
        <v>0</v>
      </c>
      <c r="Q201" s="13">
        <f>Q202+Q203</f>
        <v>86</v>
      </c>
      <c r="R201" s="13">
        <f t="shared" si="418"/>
        <v>86</v>
      </c>
      <c r="S201" s="13">
        <f t="shared" si="418"/>
        <v>4792</v>
      </c>
      <c r="T201" s="13">
        <f t="shared" si="418"/>
        <v>4878</v>
      </c>
      <c r="U201" s="13">
        <f t="shared" si="418"/>
        <v>29</v>
      </c>
      <c r="V201" s="13">
        <f t="shared" si="418"/>
        <v>4907</v>
      </c>
      <c r="W201" s="13">
        <f t="shared" si="418"/>
        <v>29</v>
      </c>
      <c r="X201" s="13">
        <f t="shared" si="418"/>
        <v>4936</v>
      </c>
      <c r="Y201" s="13">
        <f t="shared" si="418"/>
        <v>58</v>
      </c>
      <c r="Z201" s="13">
        <f t="shared" si="418"/>
        <v>4994</v>
      </c>
      <c r="AA201" s="13">
        <f t="shared" si="418"/>
        <v>211</v>
      </c>
      <c r="AB201" s="13">
        <f t="shared" si="418"/>
        <v>5205</v>
      </c>
      <c r="AC201" s="13">
        <f t="shared" si="418"/>
        <v>211</v>
      </c>
      <c r="AD201" s="13">
        <f t="shared" si="418"/>
        <v>5416</v>
      </c>
      <c r="AE201" s="13">
        <f t="shared" si="418"/>
        <v>211</v>
      </c>
      <c r="AF201" s="13">
        <f t="shared" si="418"/>
        <v>5627</v>
      </c>
      <c r="AG201" s="13">
        <f t="shared" si="418"/>
        <v>211</v>
      </c>
      <c r="AH201" s="13">
        <f t="shared" si="418"/>
        <v>5838</v>
      </c>
      <c r="AI201" s="13">
        <f t="shared" si="418"/>
        <v>0</v>
      </c>
      <c r="AJ201" s="13">
        <f t="shared" si="418"/>
        <v>411</v>
      </c>
      <c r="AK201" s="13">
        <f t="shared" si="418"/>
        <v>411</v>
      </c>
      <c r="AL201" s="10" t="s">
        <v>37</v>
      </c>
      <c r="AM201" s="388">
        <v>830</v>
      </c>
      <c r="AN201" s="388"/>
      <c r="AO201" s="388">
        <f>SUM(AM201:AN201)</f>
        <v>830</v>
      </c>
      <c r="AP201" s="388">
        <v>2000</v>
      </c>
      <c r="AQ201" s="388">
        <f t="shared" ref="AQ201" si="419">SUM(AO201:AP201)</f>
        <v>2830</v>
      </c>
      <c r="AR201" s="388"/>
      <c r="AS201" s="388">
        <f t="shared" si="409"/>
        <v>2830</v>
      </c>
      <c r="AT201" s="388"/>
      <c r="AU201" s="388">
        <f t="shared" si="417"/>
        <v>2830</v>
      </c>
      <c r="AV201" s="388"/>
      <c r="AW201" s="388">
        <f t="shared" ref="AW201" si="420">SUM(AU201:AV201)</f>
        <v>2830</v>
      </c>
      <c r="AX201" s="388"/>
      <c r="AY201" s="388">
        <f t="shared" ref="AY201" si="421">SUM(AW201:AX201)</f>
        <v>2830</v>
      </c>
      <c r="AZ201" s="388"/>
      <c r="BA201" s="388">
        <f t="shared" ref="BA201" si="422">SUM(AY201:AZ201)</f>
        <v>2830</v>
      </c>
      <c r="BB201" s="388"/>
      <c r="BC201" s="388">
        <f t="shared" ref="BC201" si="423">SUM(BA201:BB201)</f>
        <v>2830</v>
      </c>
      <c r="BD201" s="388"/>
      <c r="BE201" s="388">
        <f t="shared" si="415"/>
        <v>2830</v>
      </c>
      <c r="BF201" s="388">
        <v>100</v>
      </c>
      <c r="BG201" s="18"/>
      <c r="BH201" s="388">
        <f>SUM(BF201:BG201)</f>
        <v>100</v>
      </c>
    </row>
    <row r="202" spans="1:60">
      <c r="A202" s="12" t="s">
        <v>93</v>
      </c>
      <c r="B202" s="19"/>
      <c r="C202" s="19">
        <f>SUM(B202:B202)</f>
        <v>0</v>
      </c>
      <c r="D202" s="19">
        <v>8046</v>
      </c>
      <c r="E202" s="19">
        <f>SUM(C202:D202)</f>
        <v>8046</v>
      </c>
      <c r="F202" s="19"/>
      <c r="G202" s="19">
        <f>SUM(E202:F202)</f>
        <v>8046</v>
      </c>
      <c r="H202" s="19"/>
      <c r="I202" s="19">
        <f>SUM(G202:H202)</f>
        <v>8046</v>
      </c>
      <c r="J202" s="19"/>
      <c r="K202" s="19">
        <f>SUM(I202:J202)</f>
        <v>8046</v>
      </c>
      <c r="L202" s="19"/>
      <c r="M202" s="19">
        <f>SUM(K202:L202)</f>
        <v>8046</v>
      </c>
      <c r="N202" s="19"/>
      <c r="O202" s="19">
        <f>SUM(M202:N202)</f>
        <v>8046</v>
      </c>
      <c r="P202" s="19"/>
      <c r="Q202" s="19"/>
      <c r="R202" s="19"/>
      <c r="S202" s="19">
        <v>4763</v>
      </c>
      <c r="T202" s="19">
        <f>SUM(R202:S202)</f>
        <v>4763</v>
      </c>
      <c r="U202" s="19"/>
      <c r="V202" s="19">
        <f>SUM(T202:U202)</f>
        <v>4763</v>
      </c>
      <c r="W202" s="19"/>
      <c r="X202" s="19">
        <f>SUM(V202:W202)</f>
        <v>4763</v>
      </c>
      <c r="Y202" s="19"/>
      <c r="Z202" s="19">
        <f>SUM(X202:Y202)</f>
        <v>4763</v>
      </c>
      <c r="AA202" s="19"/>
      <c r="AB202" s="19">
        <f>SUM(Z202:AA202)</f>
        <v>4763</v>
      </c>
      <c r="AC202" s="19"/>
      <c r="AD202" s="19">
        <f>SUM(AB202:AC202)</f>
        <v>4763</v>
      </c>
      <c r="AE202" s="19"/>
      <c r="AF202" s="19">
        <f>SUM(AD202:AE202)</f>
        <v>4763</v>
      </c>
      <c r="AG202" s="19"/>
      <c r="AH202" s="19">
        <f>SUM(AF202:AG202)</f>
        <v>4763</v>
      </c>
      <c r="AI202" s="19"/>
      <c r="AJ202" s="19"/>
      <c r="AK202" s="19"/>
      <c r="AL202" s="10" t="s">
        <v>39</v>
      </c>
      <c r="AM202" s="388"/>
      <c r="AN202" s="388"/>
      <c r="AO202" s="388"/>
      <c r="AP202" s="388"/>
      <c r="AQ202" s="388"/>
      <c r="AR202" s="388"/>
      <c r="AS202" s="388"/>
      <c r="AT202" s="388"/>
      <c r="AU202" s="388">
        <f t="shared" si="417"/>
        <v>0</v>
      </c>
      <c r="AV202" s="388"/>
      <c r="AW202" s="388"/>
      <c r="AX202" s="388"/>
      <c r="AY202" s="388"/>
      <c r="AZ202" s="388"/>
      <c r="BA202" s="388"/>
      <c r="BB202" s="388"/>
      <c r="BC202" s="388"/>
      <c r="BD202" s="388"/>
      <c r="BE202" s="388">
        <f t="shared" si="415"/>
        <v>0</v>
      </c>
      <c r="BF202" s="388"/>
      <c r="BG202" s="18"/>
      <c r="BH202" s="18"/>
    </row>
    <row r="203" spans="1:60">
      <c r="A203" s="25" t="s">
        <v>95</v>
      </c>
      <c r="B203" s="19">
        <v>172</v>
      </c>
      <c r="C203" s="19">
        <f>SUM(B203:B203)</f>
        <v>172</v>
      </c>
      <c r="D203" s="19"/>
      <c r="E203" s="19">
        <f>SUM(C203:D203)</f>
        <v>172</v>
      </c>
      <c r="F203" s="19">
        <v>121</v>
      </c>
      <c r="G203" s="19">
        <f>SUM(E203:F203)</f>
        <v>293</v>
      </c>
      <c r="H203" s="19">
        <v>65</v>
      </c>
      <c r="I203" s="19">
        <f>SUM(G203:H203)</f>
        <v>358</v>
      </c>
      <c r="J203" s="19">
        <v>114</v>
      </c>
      <c r="K203" s="19">
        <f>SUM(I203:J203)</f>
        <v>472</v>
      </c>
      <c r="L203" s="19">
        <v>57</v>
      </c>
      <c r="M203" s="19">
        <f>SUM(K203:L203)</f>
        <v>529</v>
      </c>
      <c r="N203" s="19">
        <v>57</v>
      </c>
      <c r="O203" s="19">
        <v>643</v>
      </c>
      <c r="P203" s="19"/>
      <c r="Q203" s="19">
        <v>86</v>
      </c>
      <c r="R203" s="19">
        <f>SUM(P203:Q203)</f>
        <v>86</v>
      </c>
      <c r="S203" s="19">
        <v>29</v>
      </c>
      <c r="T203" s="19">
        <f>SUM(R203:S203)</f>
        <v>115</v>
      </c>
      <c r="U203" s="19">
        <v>29</v>
      </c>
      <c r="V203" s="19">
        <f>SUM(T203:U203)</f>
        <v>144</v>
      </c>
      <c r="W203" s="19">
        <v>29</v>
      </c>
      <c r="X203" s="19">
        <f>SUM(V203:W203)</f>
        <v>173</v>
      </c>
      <c r="Y203" s="19">
        <f>58</f>
        <v>58</v>
      </c>
      <c r="Z203" s="19">
        <f>SUM(X203:Y203)</f>
        <v>231</v>
      </c>
      <c r="AA203" s="19">
        <v>211</v>
      </c>
      <c r="AB203" s="19">
        <f>SUM(Z203:AA203)</f>
        <v>442</v>
      </c>
      <c r="AC203" s="19">
        <v>211</v>
      </c>
      <c r="AD203" s="19">
        <f>SUM(AB203:AC203)</f>
        <v>653</v>
      </c>
      <c r="AE203" s="19">
        <v>211</v>
      </c>
      <c r="AF203" s="19">
        <f>SUM(AD203:AE203)</f>
        <v>864</v>
      </c>
      <c r="AG203" s="19">
        <v>211</v>
      </c>
      <c r="AH203" s="19">
        <f>SUM(AF203:AG203)</f>
        <v>1075</v>
      </c>
      <c r="AI203" s="19">
        <v>0</v>
      </c>
      <c r="AJ203" s="19">
        <v>411</v>
      </c>
      <c r="AK203" s="19">
        <f>SUM(AI203:AJ203)</f>
        <v>411</v>
      </c>
      <c r="AL203" s="10" t="s">
        <v>40</v>
      </c>
      <c r="AM203" s="388"/>
      <c r="AN203" s="388"/>
      <c r="AO203" s="388"/>
      <c r="AP203" s="388"/>
      <c r="AQ203" s="388"/>
      <c r="AR203" s="388"/>
      <c r="AS203" s="388"/>
      <c r="AT203" s="388"/>
      <c r="AU203" s="388"/>
      <c r="AV203" s="388"/>
      <c r="AW203" s="388"/>
      <c r="AX203" s="388"/>
      <c r="AY203" s="388"/>
      <c r="AZ203" s="388"/>
      <c r="BA203" s="388"/>
      <c r="BB203" s="388"/>
      <c r="BC203" s="388"/>
      <c r="BD203" s="388"/>
      <c r="BE203" s="388">
        <f t="shared" si="415"/>
        <v>0</v>
      </c>
      <c r="BF203" s="388"/>
      <c r="BG203" s="18"/>
      <c r="BH203" s="18"/>
    </row>
    <row r="204" spans="1:60" ht="15.75">
      <c r="A204" s="32" t="s">
        <v>96</v>
      </c>
      <c r="B204" s="355">
        <f t="shared" ref="B204:O204" si="424">B197+B198+B199+B200+B201+B196</f>
        <v>172</v>
      </c>
      <c r="C204" s="355">
        <f t="shared" si="424"/>
        <v>172</v>
      </c>
      <c r="D204" s="355">
        <f t="shared" si="424"/>
        <v>8046</v>
      </c>
      <c r="E204" s="355">
        <f t="shared" si="424"/>
        <v>8218</v>
      </c>
      <c r="F204" s="355">
        <f t="shared" si="424"/>
        <v>121</v>
      </c>
      <c r="G204" s="355">
        <f t="shared" si="424"/>
        <v>8339</v>
      </c>
      <c r="H204" s="355">
        <f t="shared" si="424"/>
        <v>65</v>
      </c>
      <c r="I204" s="355">
        <f t="shared" si="424"/>
        <v>8404</v>
      </c>
      <c r="J204" s="355">
        <f t="shared" si="424"/>
        <v>114</v>
      </c>
      <c r="K204" s="355">
        <f t="shared" si="424"/>
        <v>8518</v>
      </c>
      <c r="L204" s="355">
        <f t="shared" si="424"/>
        <v>57</v>
      </c>
      <c r="M204" s="355">
        <f t="shared" si="424"/>
        <v>8575</v>
      </c>
      <c r="N204" s="355">
        <f t="shared" si="424"/>
        <v>57</v>
      </c>
      <c r="O204" s="355">
        <f t="shared" si="424"/>
        <v>8689</v>
      </c>
      <c r="P204" s="355">
        <f>P197+P198+P199+P200+P201+P196</f>
        <v>92368</v>
      </c>
      <c r="Q204" s="355">
        <f>Q197+Q198+Q199+Q200+Q201+Q196</f>
        <v>86</v>
      </c>
      <c r="R204" s="355">
        <f>R197+R198+R199+R200+R201+R196</f>
        <v>92454</v>
      </c>
      <c r="S204" s="355">
        <f t="shared" ref="S204:X204" si="425">S197+S198+S199+S200+S201+S196</f>
        <v>4792</v>
      </c>
      <c r="T204" s="355">
        <f t="shared" si="425"/>
        <v>97246</v>
      </c>
      <c r="U204" s="355">
        <f t="shared" si="425"/>
        <v>29</v>
      </c>
      <c r="V204" s="355">
        <f t="shared" si="425"/>
        <v>97275</v>
      </c>
      <c r="W204" s="355">
        <f t="shared" si="425"/>
        <v>29</v>
      </c>
      <c r="X204" s="355">
        <f t="shared" si="425"/>
        <v>97304</v>
      </c>
      <c r="Y204" s="355">
        <f t="shared" ref="Y204:AB204" si="426">Y197+Y198+Y199+Y200+Y201+Y196</f>
        <v>58</v>
      </c>
      <c r="Z204" s="355">
        <f t="shared" si="426"/>
        <v>97362</v>
      </c>
      <c r="AA204" s="355">
        <f t="shared" si="426"/>
        <v>211</v>
      </c>
      <c r="AB204" s="355">
        <f t="shared" si="426"/>
        <v>97573</v>
      </c>
      <c r="AC204" s="355">
        <f t="shared" ref="AC204:AD204" si="427">AC197+AC198+AC199+AC200+AC201+AC196</f>
        <v>211</v>
      </c>
      <c r="AD204" s="355">
        <f t="shared" si="427"/>
        <v>97784</v>
      </c>
      <c r="AE204" s="355">
        <f t="shared" ref="AE204" si="428">AE197+AE198+AE199+AE200+AE201+AE196</f>
        <v>9673</v>
      </c>
      <c r="AF204" s="355">
        <f t="shared" ref="AF204:AH204" si="429">AF197+AF198+AF199+AF200+AF201+AF196</f>
        <v>107457</v>
      </c>
      <c r="AG204" s="355">
        <f t="shared" si="429"/>
        <v>211</v>
      </c>
      <c r="AH204" s="355">
        <f t="shared" si="429"/>
        <v>107668</v>
      </c>
      <c r="AI204" s="355">
        <f t="shared" ref="AI204:AJ204" si="430">AI197+AI198+AI199+AI200+AI201+AI196</f>
        <v>126905</v>
      </c>
      <c r="AJ204" s="355">
        <f t="shared" si="430"/>
        <v>411</v>
      </c>
      <c r="AK204" s="355">
        <f t="shared" ref="AK204" si="431">AK197+AK198+AK199+AK200+AK201+AK196</f>
        <v>127316</v>
      </c>
      <c r="AL204" s="32" t="s">
        <v>97</v>
      </c>
      <c r="AM204" s="425">
        <f>SUM(AM196:AM203)</f>
        <v>92368</v>
      </c>
      <c r="AN204" s="425">
        <f t="shared" ref="AN204" si="432">SUM(AN196:AN203)</f>
        <v>86</v>
      </c>
      <c r="AO204" s="425">
        <f>SUM(AO196:AO203)</f>
        <v>92454</v>
      </c>
      <c r="AP204" s="425">
        <f t="shared" ref="AP204:BA204" si="433">SUM(AP196:AP203)</f>
        <v>4792</v>
      </c>
      <c r="AQ204" s="425">
        <f t="shared" si="433"/>
        <v>97246</v>
      </c>
      <c r="AR204" s="425">
        <f t="shared" si="433"/>
        <v>29</v>
      </c>
      <c r="AS204" s="425">
        <f t="shared" si="433"/>
        <v>97275</v>
      </c>
      <c r="AT204" s="425">
        <f t="shared" si="433"/>
        <v>29</v>
      </c>
      <c r="AU204" s="425">
        <f t="shared" si="433"/>
        <v>97304</v>
      </c>
      <c r="AV204" s="425">
        <f t="shared" si="433"/>
        <v>58</v>
      </c>
      <c r="AW204" s="425">
        <f t="shared" si="433"/>
        <v>97362</v>
      </c>
      <c r="AX204" s="425">
        <f t="shared" si="433"/>
        <v>211</v>
      </c>
      <c r="AY204" s="425">
        <f t="shared" si="433"/>
        <v>97573</v>
      </c>
      <c r="AZ204" s="425">
        <f t="shared" si="433"/>
        <v>211</v>
      </c>
      <c r="BA204" s="425">
        <f t="shared" si="433"/>
        <v>97784</v>
      </c>
      <c r="BB204" s="425">
        <f t="shared" ref="BB204:BC204" si="434">SUM(BB196:BB203)</f>
        <v>9673</v>
      </c>
      <c r="BC204" s="425">
        <f t="shared" si="434"/>
        <v>107457</v>
      </c>
      <c r="BD204" s="425">
        <f t="shared" ref="BD204:BE204" si="435">SUM(BD196:BD203)</f>
        <v>211</v>
      </c>
      <c r="BE204" s="425">
        <f t="shared" si="435"/>
        <v>107668</v>
      </c>
      <c r="BF204" s="425">
        <f t="shared" ref="BF204:BH204" si="436">SUM(BF196:BF203)</f>
        <v>126905</v>
      </c>
      <c r="BG204" s="425">
        <f t="shared" si="436"/>
        <v>411</v>
      </c>
      <c r="BH204" s="425">
        <f t="shared" si="436"/>
        <v>127316</v>
      </c>
    </row>
    <row r="205" spans="1:60" ht="15.75">
      <c r="A205" s="34" t="s">
        <v>88</v>
      </c>
      <c r="B205" s="35">
        <f t="shared" ref="B205:O205" si="437">B196+B201</f>
        <v>172</v>
      </c>
      <c r="C205" s="35">
        <f t="shared" si="437"/>
        <v>172</v>
      </c>
      <c r="D205" s="35">
        <f t="shared" si="437"/>
        <v>8046</v>
      </c>
      <c r="E205" s="35">
        <f t="shared" si="437"/>
        <v>8218</v>
      </c>
      <c r="F205" s="35">
        <f t="shared" si="437"/>
        <v>121</v>
      </c>
      <c r="G205" s="35">
        <f t="shared" si="437"/>
        <v>8339</v>
      </c>
      <c r="H205" s="35">
        <f t="shared" si="437"/>
        <v>65</v>
      </c>
      <c r="I205" s="35">
        <f t="shared" si="437"/>
        <v>8404</v>
      </c>
      <c r="J205" s="35">
        <f t="shared" si="437"/>
        <v>114</v>
      </c>
      <c r="K205" s="35">
        <f t="shared" si="437"/>
        <v>8518</v>
      </c>
      <c r="L205" s="35">
        <f t="shared" si="437"/>
        <v>57</v>
      </c>
      <c r="M205" s="35">
        <f t="shared" si="437"/>
        <v>8575</v>
      </c>
      <c r="N205" s="35">
        <f t="shared" si="437"/>
        <v>57</v>
      </c>
      <c r="O205" s="35">
        <f t="shared" si="437"/>
        <v>8689</v>
      </c>
      <c r="P205" s="35">
        <f>P196+P201</f>
        <v>92368</v>
      </c>
      <c r="Q205" s="35">
        <f>Q196+Q201</f>
        <v>86</v>
      </c>
      <c r="R205" s="35">
        <f>R196+R201</f>
        <v>92454</v>
      </c>
      <c r="S205" s="35">
        <f t="shared" ref="S205:X205" si="438">S196+S201</f>
        <v>4792</v>
      </c>
      <c r="T205" s="35">
        <f t="shared" si="438"/>
        <v>97246</v>
      </c>
      <c r="U205" s="35">
        <f t="shared" si="438"/>
        <v>29</v>
      </c>
      <c r="V205" s="35">
        <f t="shared" si="438"/>
        <v>97275</v>
      </c>
      <c r="W205" s="35">
        <f t="shared" si="438"/>
        <v>29</v>
      </c>
      <c r="X205" s="35">
        <f t="shared" si="438"/>
        <v>97304</v>
      </c>
      <c r="Y205" s="35">
        <f t="shared" ref="Y205:AB205" si="439">Y196+Y201</f>
        <v>58</v>
      </c>
      <c r="Z205" s="35">
        <f t="shared" si="439"/>
        <v>97362</v>
      </c>
      <c r="AA205" s="35">
        <f t="shared" si="439"/>
        <v>211</v>
      </c>
      <c r="AB205" s="35">
        <f t="shared" si="439"/>
        <v>97573</v>
      </c>
      <c r="AC205" s="35">
        <f t="shared" ref="AC205:AD205" si="440">AC196+AC201</f>
        <v>211</v>
      </c>
      <c r="AD205" s="35">
        <f t="shared" si="440"/>
        <v>97784</v>
      </c>
      <c r="AE205" s="35">
        <f t="shared" ref="AE205" si="441">AE196+AE201</f>
        <v>9673</v>
      </c>
      <c r="AF205" s="35">
        <f t="shared" ref="AF205:AH205" si="442">AF196+AF201</f>
        <v>107457</v>
      </c>
      <c r="AG205" s="35">
        <f t="shared" si="442"/>
        <v>211</v>
      </c>
      <c r="AH205" s="35">
        <f t="shared" si="442"/>
        <v>107668</v>
      </c>
      <c r="AI205" s="35">
        <f t="shared" ref="AI205:AJ205" si="443">AI196+AI201</f>
        <v>126905</v>
      </c>
      <c r="AJ205" s="35">
        <f t="shared" si="443"/>
        <v>411</v>
      </c>
      <c r="AK205" s="35">
        <f t="shared" ref="AK205" si="444">AK196+AK201</f>
        <v>127316</v>
      </c>
      <c r="AL205" s="34" t="s">
        <v>89</v>
      </c>
      <c r="AM205" s="426">
        <f>AM196+AM197+AM198+AM200</f>
        <v>91538</v>
      </c>
      <c r="AN205" s="426">
        <f t="shared" ref="AN205:BE205" si="445">AN196+AN197+AN198+AN200</f>
        <v>86</v>
      </c>
      <c r="AO205" s="426">
        <f t="shared" si="445"/>
        <v>91624</v>
      </c>
      <c r="AP205" s="426">
        <f t="shared" si="445"/>
        <v>2792</v>
      </c>
      <c r="AQ205" s="426">
        <f t="shared" si="445"/>
        <v>94416</v>
      </c>
      <c r="AR205" s="426">
        <f t="shared" si="445"/>
        <v>29</v>
      </c>
      <c r="AS205" s="426">
        <f t="shared" si="445"/>
        <v>94445</v>
      </c>
      <c r="AT205" s="426">
        <f t="shared" si="445"/>
        <v>29</v>
      </c>
      <c r="AU205" s="426">
        <f t="shared" si="445"/>
        <v>94474</v>
      </c>
      <c r="AV205" s="426">
        <f t="shared" si="445"/>
        <v>58</v>
      </c>
      <c r="AW205" s="426">
        <f t="shared" si="445"/>
        <v>94532</v>
      </c>
      <c r="AX205" s="426">
        <f t="shared" si="445"/>
        <v>211</v>
      </c>
      <c r="AY205" s="426">
        <f t="shared" si="445"/>
        <v>94743</v>
      </c>
      <c r="AZ205" s="426">
        <f t="shared" si="445"/>
        <v>211</v>
      </c>
      <c r="BA205" s="426">
        <f t="shared" si="445"/>
        <v>94954</v>
      </c>
      <c r="BB205" s="426">
        <f t="shared" si="445"/>
        <v>9673</v>
      </c>
      <c r="BC205" s="426">
        <f t="shared" si="445"/>
        <v>104627</v>
      </c>
      <c r="BD205" s="426">
        <f t="shared" si="445"/>
        <v>211</v>
      </c>
      <c r="BE205" s="426">
        <f t="shared" si="445"/>
        <v>104838</v>
      </c>
      <c r="BF205" s="426">
        <f t="shared" ref="BF205:BH205" si="446">BF196+BF197+BF198+BF200</f>
        <v>126805</v>
      </c>
      <c r="BG205" s="426">
        <f t="shared" si="446"/>
        <v>411</v>
      </c>
      <c r="BH205" s="426">
        <f t="shared" si="446"/>
        <v>127216</v>
      </c>
    </row>
    <row r="206" spans="1:60" ht="15.75">
      <c r="A206" s="34" t="s">
        <v>90</v>
      </c>
      <c r="B206" s="35">
        <f t="shared" ref="B206:O206" si="447">B198+B200</f>
        <v>0</v>
      </c>
      <c r="C206" s="35">
        <f t="shared" si="447"/>
        <v>0</v>
      </c>
      <c r="D206" s="35">
        <f t="shared" si="447"/>
        <v>0</v>
      </c>
      <c r="E206" s="35">
        <f t="shared" si="447"/>
        <v>0</v>
      </c>
      <c r="F206" s="35">
        <f t="shared" si="447"/>
        <v>0</v>
      </c>
      <c r="G206" s="35">
        <f t="shared" si="447"/>
        <v>0</v>
      </c>
      <c r="H206" s="35">
        <f t="shared" si="447"/>
        <v>0</v>
      </c>
      <c r="I206" s="35">
        <f t="shared" si="447"/>
        <v>0</v>
      </c>
      <c r="J206" s="35">
        <f t="shared" si="447"/>
        <v>0</v>
      </c>
      <c r="K206" s="35">
        <f t="shared" si="447"/>
        <v>0</v>
      </c>
      <c r="L206" s="35">
        <f t="shared" si="447"/>
        <v>0</v>
      </c>
      <c r="M206" s="35">
        <f t="shared" si="447"/>
        <v>0</v>
      </c>
      <c r="N206" s="35">
        <f t="shared" si="447"/>
        <v>0</v>
      </c>
      <c r="O206" s="35">
        <f t="shared" si="447"/>
        <v>0</v>
      </c>
      <c r="P206" s="35">
        <f>P198+P200</f>
        <v>0</v>
      </c>
      <c r="Q206" s="35">
        <f>Q198+Q200</f>
        <v>0</v>
      </c>
      <c r="R206" s="35">
        <f>R198+R200</f>
        <v>0</v>
      </c>
      <c r="S206" s="35">
        <f t="shared" ref="S206:X206" si="448">S198+S200</f>
        <v>0</v>
      </c>
      <c r="T206" s="35">
        <f t="shared" si="448"/>
        <v>0</v>
      </c>
      <c r="U206" s="35">
        <f t="shared" si="448"/>
        <v>0</v>
      </c>
      <c r="V206" s="35">
        <f t="shared" si="448"/>
        <v>0</v>
      </c>
      <c r="W206" s="35">
        <f t="shared" si="448"/>
        <v>0</v>
      </c>
      <c r="X206" s="35">
        <f t="shared" si="448"/>
        <v>0</v>
      </c>
      <c r="Y206" s="35">
        <f t="shared" ref="Y206:AB206" si="449">Y198+Y200</f>
        <v>0</v>
      </c>
      <c r="Z206" s="35">
        <f t="shared" si="449"/>
        <v>0</v>
      </c>
      <c r="AA206" s="35">
        <f t="shared" si="449"/>
        <v>0</v>
      </c>
      <c r="AB206" s="35">
        <f t="shared" si="449"/>
        <v>0</v>
      </c>
      <c r="AC206" s="35">
        <f t="shared" ref="AC206:AD206" si="450">AC198+AC200</f>
        <v>0</v>
      </c>
      <c r="AD206" s="35">
        <f t="shared" si="450"/>
        <v>0</v>
      </c>
      <c r="AE206" s="35">
        <f t="shared" ref="AE206" si="451">AE198+AE200</f>
        <v>0</v>
      </c>
      <c r="AF206" s="35">
        <f t="shared" ref="AF206:AH206" si="452">AF198+AF200</f>
        <v>0</v>
      </c>
      <c r="AG206" s="35">
        <f t="shared" si="452"/>
        <v>0</v>
      </c>
      <c r="AH206" s="35">
        <f t="shared" si="452"/>
        <v>0</v>
      </c>
      <c r="AI206" s="35">
        <f t="shared" ref="AI206:AJ206" si="453">AI198+AI200</f>
        <v>0</v>
      </c>
      <c r="AJ206" s="35">
        <f t="shared" si="453"/>
        <v>0</v>
      </c>
      <c r="AK206" s="35">
        <f t="shared" ref="AK206" si="454">AK198+AK200</f>
        <v>0</v>
      </c>
      <c r="AL206" s="34" t="s">
        <v>91</v>
      </c>
      <c r="AM206" s="426">
        <f>AM201+AM202+AM203</f>
        <v>830</v>
      </c>
      <c r="AN206" s="426">
        <f t="shared" ref="AN206:BE206" si="455">AN201+AN202+AN203</f>
        <v>0</v>
      </c>
      <c r="AO206" s="426">
        <f t="shared" si="455"/>
        <v>830</v>
      </c>
      <c r="AP206" s="426">
        <f t="shared" si="455"/>
        <v>2000</v>
      </c>
      <c r="AQ206" s="426">
        <f t="shared" si="455"/>
        <v>2830</v>
      </c>
      <c r="AR206" s="426">
        <f t="shared" si="455"/>
        <v>0</v>
      </c>
      <c r="AS206" s="426">
        <f t="shared" si="455"/>
        <v>2830</v>
      </c>
      <c r="AT206" s="426">
        <f t="shared" si="455"/>
        <v>0</v>
      </c>
      <c r="AU206" s="426">
        <f t="shared" si="455"/>
        <v>2830</v>
      </c>
      <c r="AV206" s="426">
        <f t="shared" si="455"/>
        <v>0</v>
      </c>
      <c r="AW206" s="426">
        <f t="shared" si="455"/>
        <v>2830</v>
      </c>
      <c r="AX206" s="426">
        <f t="shared" si="455"/>
        <v>0</v>
      </c>
      <c r="AY206" s="426">
        <f t="shared" si="455"/>
        <v>2830</v>
      </c>
      <c r="AZ206" s="426">
        <f t="shared" si="455"/>
        <v>0</v>
      </c>
      <c r="BA206" s="426">
        <f t="shared" si="455"/>
        <v>2830</v>
      </c>
      <c r="BB206" s="426">
        <f t="shared" si="455"/>
        <v>0</v>
      </c>
      <c r="BC206" s="426">
        <f t="shared" si="455"/>
        <v>2830</v>
      </c>
      <c r="BD206" s="426">
        <f t="shared" si="455"/>
        <v>0</v>
      </c>
      <c r="BE206" s="426">
        <f t="shared" si="455"/>
        <v>2830</v>
      </c>
      <c r="BF206" s="426">
        <f t="shared" ref="BF206:BH206" si="456">BF201+BF202+BF203</f>
        <v>100</v>
      </c>
      <c r="BG206" s="426">
        <f t="shared" si="456"/>
        <v>0</v>
      </c>
      <c r="BH206" s="426">
        <f t="shared" si="456"/>
        <v>100</v>
      </c>
    </row>
    <row r="207" spans="1:60" ht="15.75">
      <c r="A207" s="715" t="s">
        <v>103</v>
      </c>
      <c r="B207" s="716"/>
      <c r="C207" s="716"/>
      <c r="D207" s="716"/>
      <c r="E207" s="716"/>
      <c r="F207" s="716"/>
      <c r="G207" s="716"/>
      <c r="H207" s="716"/>
      <c r="I207" s="716"/>
      <c r="J207" s="716"/>
      <c r="K207" s="716"/>
      <c r="L207" s="716"/>
      <c r="M207" s="716"/>
      <c r="N207" s="716"/>
      <c r="O207" s="716"/>
      <c r="P207" s="716"/>
      <c r="Q207" s="716"/>
      <c r="R207" s="716"/>
      <c r="S207" s="716"/>
      <c r="T207" s="716"/>
      <c r="U207" s="716"/>
      <c r="V207" s="716"/>
      <c r="W207" s="716"/>
      <c r="X207" s="716"/>
      <c r="Y207" s="716"/>
      <c r="Z207" s="716"/>
      <c r="AA207" s="716"/>
      <c r="AB207" s="716"/>
      <c r="AC207" s="716"/>
      <c r="AD207" s="716"/>
      <c r="AE207" s="716"/>
      <c r="AF207" s="716"/>
      <c r="AG207" s="716"/>
      <c r="AH207" s="716"/>
      <c r="AI207" s="716"/>
      <c r="AJ207" s="716"/>
      <c r="AK207" s="716"/>
      <c r="AL207" s="716"/>
      <c r="AM207" s="716"/>
      <c r="AN207" s="716"/>
      <c r="AO207" s="716"/>
      <c r="AP207" s="716"/>
      <c r="AQ207" s="716"/>
      <c r="AR207" s="716"/>
      <c r="AS207" s="716"/>
      <c r="AT207" s="716"/>
      <c r="AU207" s="716"/>
      <c r="AV207" s="716"/>
      <c r="AW207" s="716"/>
      <c r="AX207" s="716"/>
      <c r="AY207" s="716"/>
      <c r="AZ207" s="716"/>
      <c r="BA207" s="716"/>
      <c r="BB207" s="716"/>
      <c r="BC207" s="716"/>
      <c r="BD207" s="716"/>
      <c r="BE207" s="716"/>
      <c r="BF207" s="716"/>
      <c r="BG207" s="716"/>
      <c r="BH207" s="717"/>
    </row>
    <row r="208" spans="1:60" ht="15.75">
      <c r="A208" s="39" t="s">
        <v>9</v>
      </c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>
        <f>SUM(K208:L208)</f>
        <v>0</v>
      </c>
      <c r="N208" s="19"/>
      <c r="O208" s="19">
        <f>SUM(M208:N208)</f>
        <v>0</v>
      </c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38"/>
      <c r="AM208" s="18"/>
      <c r="AN208" s="18"/>
      <c r="AO208" s="18"/>
      <c r="AP208" s="18"/>
      <c r="AQ208" s="18"/>
      <c r="AR208" s="18"/>
      <c r="AS208" s="18"/>
      <c r="AT208" s="18"/>
      <c r="AU208" s="18"/>
      <c r="AV208" s="18"/>
      <c r="AW208" s="18"/>
      <c r="AX208" s="18"/>
      <c r="AY208" s="18"/>
      <c r="AZ208" s="18"/>
      <c r="BA208" s="18"/>
      <c r="BB208" s="18"/>
      <c r="BC208" s="18"/>
      <c r="BD208" s="18"/>
      <c r="BE208" s="18"/>
      <c r="BF208" s="18"/>
      <c r="BG208" s="18"/>
      <c r="BH208" s="18"/>
    </row>
    <row r="209" spans="1:60">
      <c r="A209" s="10" t="s">
        <v>59</v>
      </c>
      <c r="B209" s="19"/>
      <c r="C209" s="19">
        <f>SUM(B209:B209)</f>
        <v>0</v>
      </c>
      <c r="D209" s="19"/>
      <c r="E209" s="19">
        <f>SUM(C209:D209)</f>
        <v>0</v>
      </c>
      <c r="F209" s="19"/>
      <c r="G209" s="19">
        <f>SUM(E209:F209)</f>
        <v>0</v>
      </c>
      <c r="H209" s="19"/>
      <c r="I209" s="19">
        <f>SUM(G209:H209)</f>
        <v>0</v>
      </c>
      <c r="J209" s="19"/>
      <c r="K209" s="19">
        <f>SUM(I209:J209)</f>
        <v>0</v>
      </c>
      <c r="L209" s="19"/>
      <c r="M209" s="19">
        <f>SUM(K209:L209)</f>
        <v>0</v>
      </c>
      <c r="N209" s="19"/>
      <c r="O209" s="19">
        <f>SUM(M209:N209)</f>
        <v>0</v>
      </c>
      <c r="P209" s="19">
        <v>240400</v>
      </c>
      <c r="Q209" s="19"/>
      <c r="R209" s="19">
        <f>SUM(P209:Q209)</f>
        <v>240400</v>
      </c>
      <c r="S209" s="19"/>
      <c r="T209" s="19">
        <f>SUM(R209:S209)</f>
        <v>240400</v>
      </c>
      <c r="U209" s="19"/>
      <c r="V209" s="19">
        <f>SUM(T209:U209)</f>
        <v>240400</v>
      </c>
      <c r="W209" s="19"/>
      <c r="X209" s="19">
        <f>SUM(V209:W209)</f>
        <v>240400</v>
      </c>
      <c r="Y209" s="19"/>
      <c r="Z209" s="19">
        <f>SUM(X209:Y209)</f>
        <v>240400</v>
      </c>
      <c r="AA209" s="19"/>
      <c r="AB209" s="19">
        <f>SUM(Z209:AA209)</f>
        <v>240400</v>
      </c>
      <c r="AC209" s="19"/>
      <c r="AD209" s="19">
        <f>SUM(AB209:AC209)</f>
        <v>240400</v>
      </c>
      <c r="AE209" s="19">
        <v>6000</v>
      </c>
      <c r="AF209" s="19">
        <f>SUM(AD209:AE209)</f>
        <v>246400</v>
      </c>
      <c r="AG209" s="19"/>
      <c r="AH209" s="19">
        <f>SUM(AF209:AG209)</f>
        <v>246400</v>
      </c>
      <c r="AI209" s="19">
        <v>250981</v>
      </c>
      <c r="AJ209" s="19"/>
      <c r="AK209" s="19">
        <f>SUM(AI209:AJ209)</f>
        <v>250981</v>
      </c>
      <c r="AL209" s="11" t="s">
        <v>10</v>
      </c>
      <c r="AM209" s="388">
        <v>360329</v>
      </c>
      <c r="AN209" s="388">
        <v>9575</v>
      </c>
      <c r="AO209" s="388">
        <f>SUM(AM209:AN209)</f>
        <v>369904</v>
      </c>
      <c r="AP209" s="388">
        <v>5488</v>
      </c>
      <c r="AQ209" s="388">
        <f>SUM(AO209:AP209)</f>
        <v>375392</v>
      </c>
      <c r="AR209" s="388">
        <v>3250</v>
      </c>
      <c r="AS209" s="388">
        <f>SUM(AQ209:AR209)</f>
        <v>378642</v>
      </c>
      <c r="AT209" s="388">
        <v>3252</v>
      </c>
      <c r="AU209" s="388">
        <f>SUM(AS209:AT209)</f>
        <v>381894</v>
      </c>
      <c r="AV209" s="388">
        <v>6398</v>
      </c>
      <c r="AW209" s="388">
        <f>SUM(AU209:AV209)</f>
        <v>388292</v>
      </c>
      <c r="AX209" s="388">
        <v>5507</v>
      </c>
      <c r="AY209" s="388">
        <f>SUM(AW209:AX209)</f>
        <v>393799</v>
      </c>
      <c r="AZ209" s="388">
        <v>3115</v>
      </c>
      <c r="BA209" s="388">
        <f>SUM(AY209:AZ209)</f>
        <v>396914</v>
      </c>
      <c r="BB209" s="388">
        <v>11084</v>
      </c>
      <c r="BC209" s="388">
        <f>SUM(BA209:BB209)</f>
        <v>407998</v>
      </c>
      <c r="BD209" s="388">
        <v>3096</v>
      </c>
      <c r="BE209" s="388">
        <f>SUM(BC209:BD209)</f>
        <v>411094</v>
      </c>
      <c r="BF209" s="388">
        <v>398345</v>
      </c>
      <c r="BG209" s="18">
        <v>12945</v>
      </c>
      <c r="BH209" s="388">
        <f>SUM(BF209:BG209)</f>
        <v>411290</v>
      </c>
    </row>
    <row r="210" spans="1:60">
      <c r="A210" s="10" t="s">
        <v>67</v>
      </c>
      <c r="B210" s="19"/>
      <c r="C210" s="19">
        <f>SUM(B210:B210)</f>
        <v>0</v>
      </c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0" t="s">
        <v>12</v>
      </c>
      <c r="AM210" s="388">
        <v>72534</v>
      </c>
      <c r="AN210" s="388">
        <v>1859</v>
      </c>
      <c r="AO210" s="388">
        <f t="shared" ref="AO210:AO211" si="457">SUM(AM210:AN210)</f>
        <v>74393</v>
      </c>
      <c r="AP210" s="388">
        <v>1134</v>
      </c>
      <c r="AQ210" s="388">
        <f t="shared" ref="AQ210:AQ211" si="458">SUM(AO210:AP210)</f>
        <v>75527</v>
      </c>
      <c r="AR210" s="388">
        <v>633</v>
      </c>
      <c r="AS210" s="388">
        <f t="shared" ref="AS210:AS214" si="459">SUM(AQ210:AR210)</f>
        <v>76160</v>
      </c>
      <c r="AT210" s="388">
        <v>633</v>
      </c>
      <c r="AU210" s="388">
        <f t="shared" ref="AU210:AU211" si="460">SUM(AS210:AT210)</f>
        <v>76793</v>
      </c>
      <c r="AV210" s="388">
        <v>1183</v>
      </c>
      <c r="AW210" s="388">
        <f t="shared" ref="AW210:AW211" si="461">SUM(AU210:AV210)</f>
        <v>77976</v>
      </c>
      <c r="AX210" s="388">
        <v>552</v>
      </c>
      <c r="AY210" s="388">
        <f t="shared" ref="AY210:AY211" si="462">SUM(AW210:AX210)</f>
        <v>78528</v>
      </c>
      <c r="AZ210" s="388">
        <v>544</v>
      </c>
      <c r="BA210" s="388">
        <f t="shared" ref="BA210:BA211" si="463">SUM(AY210:AZ210)</f>
        <v>79072</v>
      </c>
      <c r="BB210" s="388">
        <v>-2460</v>
      </c>
      <c r="BC210" s="388">
        <f t="shared" ref="BC210:BC211" si="464">SUM(BA210:BB210)</f>
        <v>76612</v>
      </c>
      <c r="BD210" s="388">
        <v>542</v>
      </c>
      <c r="BE210" s="388">
        <f t="shared" ref="BE210:BE216" si="465">SUM(BC210:BD210)</f>
        <v>77154</v>
      </c>
      <c r="BF210" s="388">
        <v>68451</v>
      </c>
      <c r="BG210" s="18">
        <v>2267</v>
      </c>
      <c r="BH210" s="388">
        <f t="shared" ref="BH210:BH211" si="466">SUM(BF210:BG210)</f>
        <v>70718</v>
      </c>
    </row>
    <row r="211" spans="1:60">
      <c r="A211" s="10" t="s">
        <v>70</v>
      </c>
      <c r="B211" s="19"/>
      <c r="C211" s="19">
        <f>SUM(B211:B211)</f>
        <v>0</v>
      </c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4" t="s">
        <v>14</v>
      </c>
      <c r="AM211" s="388">
        <v>182900</v>
      </c>
      <c r="AN211" s="388"/>
      <c r="AO211" s="388">
        <f t="shared" si="457"/>
        <v>182900</v>
      </c>
      <c r="AP211" s="388">
        <v>12324</v>
      </c>
      <c r="AQ211" s="388">
        <f t="shared" si="458"/>
        <v>195224</v>
      </c>
      <c r="AR211" s="388"/>
      <c r="AS211" s="388">
        <f t="shared" si="459"/>
        <v>195224</v>
      </c>
      <c r="AT211" s="388"/>
      <c r="AU211" s="388">
        <f t="shared" si="460"/>
        <v>195224</v>
      </c>
      <c r="AV211" s="388"/>
      <c r="AW211" s="388">
        <f t="shared" si="461"/>
        <v>195224</v>
      </c>
      <c r="AX211" s="388"/>
      <c r="AY211" s="388">
        <f t="shared" si="462"/>
        <v>195224</v>
      </c>
      <c r="AZ211" s="388"/>
      <c r="BA211" s="388">
        <f t="shared" si="463"/>
        <v>195224</v>
      </c>
      <c r="BB211" s="388">
        <v>1000</v>
      </c>
      <c r="BC211" s="388">
        <f t="shared" si="464"/>
        <v>196224</v>
      </c>
      <c r="BD211" s="388"/>
      <c r="BE211" s="388">
        <f t="shared" si="465"/>
        <v>196224</v>
      </c>
      <c r="BF211" s="388">
        <v>191523</v>
      </c>
      <c r="BG211" s="18"/>
      <c r="BH211" s="388">
        <f t="shared" si="466"/>
        <v>191523</v>
      </c>
    </row>
    <row r="212" spans="1:60">
      <c r="A212" s="10" t="s">
        <v>72</v>
      </c>
      <c r="B212" s="19"/>
      <c r="C212" s="19">
        <f>SUM(B212:B212)</f>
        <v>0</v>
      </c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5" t="s">
        <v>16</v>
      </c>
      <c r="AM212" s="388"/>
      <c r="AN212" s="388"/>
      <c r="AO212" s="388"/>
      <c r="AP212" s="388"/>
      <c r="AQ212" s="388"/>
      <c r="AR212" s="388"/>
      <c r="AS212" s="388"/>
      <c r="AT212" s="388"/>
      <c r="AU212" s="388"/>
      <c r="AV212" s="388"/>
      <c r="AW212" s="388"/>
      <c r="AX212" s="388"/>
      <c r="AY212" s="388"/>
      <c r="AZ212" s="388"/>
      <c r="BA212" s="388"/>
      <c r="BB212" s="388"/>
      <c r="BC212" s="388"/>
      <c r="BD212" s="388"/>
      <c r="BE212" s="388">
        <f t="shared" si="465"/>
        <v>0</v>
      </c>
      <c r="BF212" s="388"/>
      <c r="BG212" s="18"/>
      <c r="BH212" s="388"/>
    </row>
    <row r="213" spans="1:60">
      <c r="A213" s="10" t="s">
        <v>79</v>
      </c>
      <c r="B213" s="13">
        <f t="shared" ref="B213:AK213" si="467">B214+B215</f>
        <v>12872</v>
      </c>
      <c r="C213" s="13">
        <f t="shared" si="467"/>
        <v>12872</v>
      </c>
      <c r="D213" s="13">
        <f t="shared" si="467"/>
        <v>18447</v>
      </c>
      <c r="E213" s="13">
        <f t="shared" si="467"/>
        <v>31319</v>
      </c>
      <c r="F213" s="13">
        <f t="shared" si="467"/>
        <v>8184</v>
      </c>
      <c r="G213" s="13">
        <f t="shared" si="467"/>
        <v>39503</v>
      </c>
      <c r="H213" s="13">
        <f t="shared" si="467"/>
        <v>4113</v>
      </c>
      <c r="I213" s="13">
        <f t="shared" si="467"/>
        <v>43616</v>
      </c>
      <c r="J213" s="13">
        <f t="shared" si="467"/>
        <v>10564</v>
      </c>
      <c r="K213" s="13">
        <f t="shared" si="467"/>
        <v>54180</v>
      </c>
      <c r="L213" s="13">
        <f t="shared" si="467"/>
        <v>4036</v>
      </c>
      <c r="M213" s="13">
        <f t="shared" si="467"/>
        <v>58216</v>
      </c>
      <c r="N213" s="13">
        <f t="shared" si="467"/>
        <v>15950</v>
      </c>
      <c r="O213" s="13">
        <f t="shared" si="467"/>
        <v>418317</v>
      </c>
      <c r="P213" s="13">
        <f t="shared" si="467"/>
        <v>375629</v>
      </c>
      <c r="Q213" s="13">
        <f t="shared" si="467"/>
        <v>11434</v>
      </c>
      <c r="R213" s="13">
        <f t="shared" si="467"/>
        <v>387063</v>
      </c>
      <c r="S213" s="13">
        <f t="shared" si="467"/>
        <v>18946</v>
      </c>
      <c r="T213" s="13">
        <f t="shared" si="467"/>
        <v>406009</v>
      </c>
      <c r="U213" s="13">
        <f t="shared" si="467"/>
        <v>3883</v>
      </c>
      <c r="V213" s="13">
        <f t="shared" si="467"/>
        <v>409892</v>
      </c>
      <c r="W213" s="13">
        <f t="shared" si="467"/>
        <v>3885</v>
      </c>
      <c r="X213" s="13">
        <f t="shared" si="467"/>
        <v>413777</v>
      </c>
      <c r="Y213" s="13">
        <f t="shared" si="467"/>
        <v>7581</v>
      </c>
      <c r="Z213" s="13">
        <f t="shared" si="467"/>
        <v>421358</v>
      </c>
      <c r="AA213" s="13">
        <f t="shared" si="467"/>
        <v>6059</v>
      </c>
      <c r="AB213" s="13">
        <f t="shared" si="467"/>
        <v>427417</v>
      </c>
      <c r="AC213" s="13">
        <f t="shared" si="467"/>
        <v>3659</v>
      </c>
      <c r="AD213" s="13">
        <f t="shared" si="467"/>
        <v>431076</v>
      </c>
      <c r="AE213" s="13">
        <f t="shared" si="467"/>
        <v>3624</v>
      </c>
      <c r="AF213" s="13">
        <f t="shared" si="467"/>
        <v>434700</v>
      </c>
      <c r="AG213" s="13">
        <f t="shared" si="467"/>
        <v>3638</v>
      </c>
      <c r="AH213" s="13">
        <f t="shared" si="467"/>
        <v>438338</v>
      </c>
      <c r="AI213" s="13">
        <f t="shared" si="467"/>
        <v>407952</v>
      </c>
      <c r="AJ213" s="13">
        <f t="shared" si="467"/>
        <v>15212</v>
      </c>
      <c r="AK213" s="13">
        <f t="shared" si="467"/>
        <v>423164</v>
      </c>
      <c r="AL213" s="14" t="s">
        <v>18</v>
      </c>
      <c r="AM213" s="388"/>
      <c r="AN213" s="388"/>
      <c r="AO213" s="388"/>
      <c r="AP213" s="388"/>
      <c r="AQ213" s="388"/>
      <c r="AR213" s="388"/>
      <c r="AS213" s="388"/>
      <c r="AT213" s="388"/>
      <c r="AU213" s="388">
        <f t="shared" ref="AU213:AU215" si="468">SUM(AS213:AT213)</f>
        <v>0</v>
      </c>
      <c r="AV213" s="388"/>
      <c r="AW213" s="388"/>
      <c r="AX213" s="388"/>
      <c r="AY213" s="388"/>
      <c r="AZ213" s="388"/>
      <c r="BA213" s="388"/>
      <c r="BB213" s="388"/>
      <c r="BC213" s="388"/>
      <c r="BD213" s="388"/>
      <c r="BE213" s="388">
        <f t="shared" si="465"/>
        <v>0</v>
      </c>
      <c r="BF213" s="388"/>
      <c r="BG213" s="18"/>
      <c r="BH213" s="388"/>
    </row>
    <row r="214" spans="1:60">
      <c r="A214" s="12" t="s">
        <v>93</v>
      </c>
      <c r="B214" s="19"/>
      <c r="C214" s="19">
        <f>SUM(B214:B214)</f>
        <v>0</v>
      </c>
      <c r="D214" s="19">
        <v>18447</v>
      </c>
      <c r="E214" s="19">
        <f>SUM(C214:D214)</f>
        <v>18447</v>
      </c>
      <c r="F214" s="19"/>
      <c r="G214" s="19">
        <f>SUM(E214:F214)</f>
        <v>18447</v>
      </c>
      <c r="H214" s="19"/>
      <c r="I214" s="19">
        <f>SUM(G214:H214)</f>
        <v>18447</v>
      </c>
      <c r="J214" s="19"/>
      <c r="K214" s="19">
        <f>SUM(I214:J214)</f>
        <v>18447</v>
      </c>
      <c r="L214" s="19"/>
      <c r="M214" s="19">
        <f>SUM(K214:L214)</f>
        <v>18447</v>
      </c>
      <c r="N214" s="19"/>
      <c r="O214" s="19">
        <f>SUM(M214:N214)</f>
        <v>18447</v>
      </c>
      <c r="P214" s="19"/>
      <c r="Q214" s="19"/>
      <c r="R214" s="19"/>
      <c r="S214" s="19">
        <v>15130</v>
      </c>
      <c r="T214" s="19">
        <f>SUM(R214:S214)</f>
        <v>15130</v>
      </c>
      <c r="U214" s="19"/>
      <c r="V214" s="19">
        <f>SUM(T214:U214)</f>
        <v>15130</v>
      </c>
      <c r="W214" s="19"/>
      <c r="X214" s="19">
        <f>SUM(V214:W214)</f>
        <v>15130</v>
      </c>
      <c r="Y214" s="19"/>
      <c r="Z214" s="19">
        <f>SUM(X214:Y214)</f>
        <v>15130</v>
      </c>
      <c r="AA214" s="19"/>
      <c r="AB214" s="19">
        <f>SUM(Z214:AA214)</f>
        <v>15130</v>
      </c>
      <c r="AC214" s="19"/>
      <c r="AD214" s="19">
        <f>SUM(AB214:AC214)</f>
        <v>15130</v>
      </c>
      <c r="AE214" s="19"/>
      <c r="AF214" s="19">
        <f>SUM(AD214:AE214)</f>
        <v>15130</v>
      </c>
      <c r="AG214" s="19"/>
      <c r="AH214" s="19">
        <f>SUM(AF214:AG214)</f>
        <v>15130</v>
      </c>
      <c r="AI214" s="19"/>
      <c r="AJ214" s="19"/>
      <c r="AK214" s="19"/>
      <c r="AL214" s="10" t="s">
        <v>37</v>
      </c>
      <c r="AM214" s="388">
        <v>266</v>
      </c>
      <c r="AN214" s="388"/>
      <c r="AO214" s="388">
        <f>SUM(AM214:AN214)</f>
        <v>266</v>
      </c>
      <c r="AP214" s="388"/>
      <c r="AQ214" s="388">
        <f t="shared" ref="AQ214" si="469">SUM(AO214:AP214)</f>
        <v>266</v>
      </c>
      <c r="AR214" s="388"/>
      <c r="AS214" s="388">
        <f t="shared" si="459"/>
        <v>266</v>
      </c>
      <c r="AT214" s="388"/>
      <c r="AU214" s="388">
        <f t="shared" si="468"/>
        <v>266</v>
      </c>
      <c r="AV214" s="388"/>
      <c r="AW214" s="388">
        <f t="shared" ref="AW214" si="470">SUM(AU214:AV214)</f>
        <v>266</v>
      </c>
      <c r="AX214" s="388"/>
      <c r="AY214" s="388">
        <f t="shared" ref="AY214" si="471">SUM(AW214:AX214)</f>
        <v>266</v>
      </c>
      <c r="AZ214" s="388"/>
      <c r="BA214" s="388">
        <f t="shared" ref="BA214" si="472">SUM(AY214:AZ214)</f>
        <v>266</v>
      </c>
      <c r="BB214" s="388"/>
      <c r="BC214" s="388">
        <f t="shared" ref="BC214" si="473">SUM(BA214:BB214)</f>
        <v>266</v>
      </c>
      <c r="BD214" s="388"/>
      <c r="BE214" s="388">
        <f t="shared" si="465"/>
        <v>266</v>
      </c>
      <c r="BF214" s="388">
        <v>614</v>
      </c>
      <c r="BG214" s="18"/>
      <c r="BH214" s="388">
        <f>SUM(BF214:BG214)</f>
        <v>614</v>
      </c>
    </row>
    <row r="215" spans="1:60">
      <c r="A215" s="25" t="s">
        <v>95</v>
      </c>
      <c r="B215" s="19">
        <v>12872</v>
      </c>
      <c r="C215" s="19">
        <f>SUM(B215:B215)</f>
        <v>12872</v>
      </c>
      <c r="D215" s="19"/>
      <c r="E215" s="19">
        <f>SUM(C215:D215)</f>
        <v>12872</v>
      </c>
      <c r="F215" s="19">
        <v>8184</v>
      </c>
      <c r="G215" s="19">
        <f>SUM(E215:F215)</f>
        <v>21056</v>
      </c>
      <c r="H215" s="19">
        <v>4113</v>
      </c>
      <c r="I215" s="19">
        <f>SUM(G215:H215)</f>
        <v>25169</v>
      </c>
      <c r="J215" s="19">
        <v>10564</v>
      </c>
      <c r="K215" s="19">
        <f>SUM(I215:J215)</f>
        <v>35733</v>
      </c>
      <c r="L215" s="19">
        <v>4036</v>
      </c>
      <c r="M215" s="19">
        <f>SUM(K215:L215)</f>
        <v>39769</v>
      </c>
      <c r="N215" s="19">
        <v>15950</v>
      </c>
      <c r="O215" s="19">
        <v>399870</v>
      </c>
      <c r="P215" s="19">
        <v>375629</v>
      </c>
      <c r="Q215" s="19">
        <v>11434</v>
      </c>
      <c r="R215" s="19">
        <f>SUM(P215:Q215)</f>
        <v>387063</v>
      </c>
      <c r="S215" s="19">
        <v>3816</v>
      </c>
      <c r="T215" s="19">
        <f>SUM(R215:S215)</f>
        <v>390879</v>
      </c>
      <c r="U215" s="19">
        <v>3883</v>
      </c>
      <c r="V215" s="19">
        <f>SUM(T215:U215)</f>
        <v>394762</v>
      </c>
      <c r="W215" s="19">
        <v>3885</v>
      </c>
      <c r="X215" s="19">
        <f>SUM(V215:W215)</f>
        <v>398647</v>
      </c>
      <c r="Y215" s="19">
        <v>7581</v>
      </c>
      <c r="Z215" s="19">
        <f>SUM(X215:Y215)</f>
        <v>406228</v>
      </c>
      <c r="AA215" s="19">
        <v>6059</v>
      </c>
      <c r="AB215" s="19">
        <f>SUM(Z215:AA215)</f>
        <v>412287</v>
      </c>
      <c r="AC215" s="19">
        <v>3659</v>
      </c>
      <c r="AD215" s="19">
        <f>SUM(AB215:AC215)</f>
        <v>415946</v>
      </c>
      <c r="AE215" s="19">
        <v>3624</v>
      </c>
      <c r="AF215" s="19">
        <f>SUM(AD215:AE215)</f>
        <v>419570</v>
      </c>
      <c r="AG215" s="19">
        <v>3638</v>
      </c>
      <c r="AH215" s="19">
        <f>SUM(AF215:AG215)</f>
        <v>423208</v>
      </c>
      <c r="AI215" s="19">
        <f>475416-67464</f>
        <v>407952</v>
      </c>
      <c r="AJ215" s="19">
        <v>15212</v>
      </c>
      <c r="AK215" s="19">
        <f>SUM(AI215:AJ215)</f>
        <v>423164</v>
      </c>
      <c r="AL215" s="10" t="s">
        <v>39</v>
      </c>
      <c r="AM215" s="388"/>
      <c r="AN215" s="388"/>
      <c r="AO215" s="388"/>
      <c r="AP215" s="388"/>
      <c r="AQ215" s="388"/>
      <c r="AR215" s="388"/>
      <c r="AS215" s="388"/>
      <c r="AT215" s="388"/>
      <c r="AU215" s="388">
        <f t="shared" si="468"/>
        <v>0</v>
      </c>
      <c r="AV215" s="388"/>
      <c r="AW215" s="388"/>
      <c r="AX215" s="388"/>
      <c r="AY215" s="388"/>
      <c r="AZ215" s="388"/>
      <c r="BA215" s="388"/>
      <c r="BB215" s="388"/>
      <c r="BC215" s="388"/>
      <c r="BD215" s="388"/>
      <c r="BE215" s="388">
        <f t="shared" si="465"/>
        <v>0</v>
      </c>
      <c r="BF215" s="388"/>
      <c r="BG215" s="18"/>
      <c r="BH215" s="18"/>
    </row>
    <row r="216" spans="1:60" ht="15.75">
      <c r="A216" s="10"/>
      <c r="B216" s="19"/>
      <c r="C216" s="19">
        <f>SUM(B216:B216)</f>
        <v>0</v>
      </c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355"/>
      <c r="AB216" s="355"/>
      <c r="AC216" s="355"/>
      <c r="AD216" s="355"/>
      <c r="AE216" s="355"/>
      <c r="AF216" s="355"/>
      <c r="AG216" s="355"/>
      <c r="AH216" s="355"/>
      <c r="AI216" s="355"/>
      <c r="AJ216" s="355"/>
      <c r="AK216" s="355"/>
      <c r="AL216" s="10" t="s">
        <v>40</v>
      </c>
      <c r="AM216" s="388"/>
      <c r="AN216" s="388"/>
      <c r="AO216" s="388"/>
      <c r="AP216" s="388"/>
      <c r="AQ216" s="388"/>
      <c r="AR216" s="388"/>
      <c r="AS216" s="388"/>
      <c r="AT216" s="388"/>
      <c r="AU216" s="388"/>
      <c r="AV216" s="388"/>
      <c r="AW216" s="388"/>
      <c r="AX216" s="388"/>
      <c r="AY216" s="388"/>
      <c r="AZ216" s="388"/>
      <c r="BA216" s="388"/>
      <c r="BB216" s="388"/>
      <c r="BC216" s="388"/>
      <c r="BD216" s="388"/>
      <c r="BE216" s="388">
        <f t="shared" si="465"/>
        <v>0</v>
      </c>
      <c r="BF216" s="388"/>
      <c r="BG216" s="18"/>
      <c r="BH216" s="18"/>
    </row>
    <row r="217" spans="1:60" ht="15.75">
      <c r="A217" s="32" t="s">
        <v>96</v>
      </c>
      <c r="B217" s="355">
        <f t="shared" ref="B217:O217" si="474">B209+B210+B211+B212+B213+B208</f>
        <v>12872</v>
      </c>
      <c r="C217" s="355">
        <f t="shared" si="474"/>
        <v>12872</v>
      </c>
      <c r="D217" s="355">
        <f t="shared" si="474"/>
        <v>18447</v>
      </c>
      <c r="E217" s="355">
        <f t="shared" si="474"/>
        <v>31319</v>
      </c>
      <c r="F217" s="355">
        <f t="shared" si="474"/>
        <v>8184</v>
      </c>
      <c r="G217" s="355">
        <f t="shared" si="474"/>
        <v>39503</v>
      </c>
      <c r="H217" s="355">
        <f t="shared" si="474"/>
        <v>4113</v>
      </c>
      <c r="I217" s="355">
        <f t="shared" si="474"/>
        <v>43616</v>
      </c>
      <c r="J217" s="355">
        <f t="shared" si="474"/>
        <v>10564</v>
      </c>
      <c r="K217" s="355">
        <f t="shared" si="474"/>
        <v>54180</v>
      </c>
      <c r="L217" s="355">
        <f t="shared" si="474"/>
        <v>4036</v>
      </c>
      <c r="M217" s="355">
        <f t="shared" si="474"/>
        <v>58216</v>
      </c>
      <c r="N217" s="355">
        <f t="shared" si="474"/>
        <v>15950</v>
      </c>
      <c r="O217" s="355">
        <f t="shared" si="474"/>
        <v>418317</v>
      </c>
      <c r="P217" s="355">
        <f>P209+P210+P211+P212+P213+P208</f>
        <v>616029</v>
      </c>
      <c r="Q217" s="355">
        <f>Q209+Q210+Q211+Q212+Q213+Q208</f>
        <v>11434</v>
      </c>
      <c r="R217" s="355">
        <f>R209+R210+R211+R212+R213+R208</f>
        <v>627463</v>
      </c>
      <c r="S217" s="355">
        <f t="shared" ref="S217:V217" si="475">S209+S210+S211+S212+S213+S208</f>
        <v>18946</v>
      </c>
      <c r="T217" s="355">
        <f t="shared" si="475"/>
        <v>646409</v>
      </c>
      <c r="U217" s="355">
        <f t="shared" si="475"/>
        <v>3883</v>
      </c>
      <c r="V217" s="355">
        <f t="shared" si="475"/>
        <v>650292</v>
      </c>
      <c r="W217" s="355">
        <f t="shared" ref="W217:AB217" si="476">W209+W210+W211+W212+W213+W208</f>
        <v>3885</v>
      </c>
      <c r="X217" s="355">
        <f t="shared" si="476"/>
        <v>654177</v>
      </c>
      <c r="Y217" s="355">
        <f t="shared" si="476"/>
        <v>7581</v>
      </c>
      <c r="Z217" s="355">
        <f t="shared" si="476"/>
        <v>661758</v>
      </c>
      <c r="AA217" s="355">
        <f t="shared" si="476"/>
        <v>6059</v>
      </c>
      <c r="AB217" s="355">
        <f t="shared" si="476"/>
        <v>667817</v>
      </c>
      <c r="AC217" s="355">
        <f t="shared" ref="AC217:AD217" si="477">AC209+AC210+AC211+AC212+AC213+AC208</f>
        <v>3659</v>
      </c>
      <c r="AD217" s="355">
        <f t="shared" si="477"/>
        <v>671476</v>
      </c>
      <c r="AE217" s="355">
        <f t="shared" ref="AE217:AF217" si="478">AE209+AE210+AE211+AE212+AE213+AE208</f>
        <v>9624</v>
      </c>
      <c r="AF217" s="355">
        <f t="shared" si="478"/>
        <v>681100</v>
      </c>
      <c r="AG217" s="355">
        <f t="shared" ref="AG217:AH217" si="479">AG209+AG210+AG211+AG212+AG213+AG208</f>
        <v>3638</v>
      </c>
      <c r="AH217" s="355">
        <f t="shared" si="479"/>
        <v>684738</v>
      </c>
      <c r="AI217" s="355">
        <f t="shared" ref="AI217" si="480">AI209+AI210+AI211+AI212+AI213+AI208</f>
        <v>658933</v>
      </c>
      <c r="AJ217" s="355">
        <f t="shared" ref="AJ217:AK217" si="481">AJ209+AJ210+AJ211+AJ212+AJ213+AJ208</f>
        <v>15212</v>
      </c>
      <c r="AK217" s="355">
        <f t="shared" si="481"/>
        <v>674145</v>
      </c>
      <c r="AL217" s="32" t="s">
        <v>97</v>
      </c>
      <c r="AM217" s="425">
        <f>SUM(AM209:AM216)</f>
        <v>616029</v>
      </c>
      <c r="AN217" s="425">
        <f t="shared" ref="AN217:AO217" si="482">SUM(AN209:AN216)</f>
        <v>11434</v>
      </c>
      <c r="AO217" s="425">
        <f t="shared" si="482"/>
        <v>627463</v>
      </c>
      <c r="AP217" s="425">
        <f t="shared" ref="AP217:BA217" si="483">SUM(AP209:AP216)</f>
        <v>18946</v>
      </c>
      <c r="AQ217" s="425">
        <f t="shared" si="483"/>
        <v>646409</v>
      </c>
      <c r="AR217" s="425">
        <f t="shared" si="483"/>
        <v>3883</v>
      </c>
      <c r="AS217" s="425">
        <f t="shared" si="483"/>
        <v>650292</v>
      </c>
      <c r="AT217" s="425">
        <f t="shared" si="483"/>
        <v>3885</v>
      </c>
      <c r="AU217" s="425">
        <f t="shared" si="483"/>
        <v>654177</v>
      </c>
      <c r="AV217" s="425">
        <f t="shared" si="483"/>
        <v>7581</v>
      </c>
      <c r="AW217" s="425">
        <f t="shared" si="483"/>
        <v>661758</v>
      </c>
      <c r="AX217" s="425">
        <f t="shared" si="483"/>
        <v>6059</v>
      </c>
      <c r="AY217" s="425">
        <f t="shared" si="483"/>
        <v>667817</v>
      </c>
      <c r="AZ217" s="425">
        <f t="shared" si="483"/>
        <v>3659</v>
      </c>
      <c r="BA217" s="425">
        <f t="shared" si="483"/>
        <v>671476</v>
      </c>
      <c r="BB217" s="425">
        <f t="shared" ref="BB217:BC217" si="484">SUM(BB209:BB216)</f>
        <v>9624</v>
      </c>
      <c r="BC217" s="425">
        <f t="shared" si="484"/>
        <v>681100</v>
      </c>
      <c r="BD217" s="425">
        <f t="shared" ref="BD217:BE217" si="485">SUM(BD209:BD216)</f>
        <v>3638</v>
      </c>
      <c r="BE217" s="425">
        <f t="shared" si="485"/>
        <v>684738</v>
      </c>
      <c r="BF217" s="425">
        <f t="shared" ref="BF217:BH217" si="486">SUM(BF209:BF216)</f>
        <v>658933</v>
      </c>
      <c r="BG217" s="425">
        <f t="shared" si="486"/>
        <v>15212</v>
      </c>
      <c r="BH217" s="425">
        <f t="shared" si="486"/>
        <v>674145</v>
      </c>
    </row>
    <row r="218" spans="1:60" ht="15.75">
      <c r="A218" s="34" t="s">
        <v>88</v>
      </c>
      <c r="B218" s="35">
        <f t="shared" ref="B218:G218" si="487">B209+B213</f>
        <v>12872</v>
      </c>
      <c r="C218" s="35">
        <f t="shared" si="487"/>
        <v>12872</v>
      </c>
      <c r="D218" s="35">
        <f t="shared" si="487"/>
        <v>18447</v>
      </c>
      <c r="E218" s="35">
        <f t="shared" si="487"/>
        <v>31319</v>
      </c>
      <c r="F218" s="35">
        <f t="shared" si="487"/>
        <v>8184</v>
      </c>
      <c r="G218" s="35">
        <f t="shared" si="487"/>
        <v>39503</v>
      </c>
      <c r="H218" s="35">
        <f t="shared" ref="H218:P218" si="488">H209+H213+H208</f>
        <v>4113</v>
      </c>
      <c r="I218" s="35">
        <f t="shared" si="488"/>
        <v>43616</v>
      </c>
      <c r="J218" s="35">
        <f t="shared" si="488"/>
        <v>10564</v>
      </c>
      <c r="K218" s="35">
        <f t="shared" si="488"/>
        <v>54180</v>
      </c>
      <c r="L218" s="35">
        <f t="shared" si="488"/>
        <v>4036</v>
      </c>
      <c r="M218" s="35">
        <f t="shared" si="488"/>
        <v>58216</v>
      </c>
      <c r="N218" s="35">
        <f t="shared" si="488"/>
        <v>15950</v>
      </c>
      <c r="O218" s="35">
        <f t="shared" si="488"/>
        <v>418317</v>
      </c>
      <c r="P218" s="35">
        <f t="shared" si="488"/>
        <v>616029</v>
      </c>
      <c r="Q218" s="35">
        <f t="shared" ref="Q218:V218" si="489">Q209+Q213+Q208</f>
        <v>11434</v>
      </c>
      <c r="R218" s="35">
        <f t="shared" si="489"/>
        <v>627463</v>
      </c>
      <c r="S218" s="35">
        <f t="shared" si="489"/>
        <v>18946</v>
      </c>
      <c r="T218" s="35">
        <f t="shared" si="489"/>
        <v>646409</v>
      </c>
      <c r="U218" s="35">
        <f t="shared" si="489"/>
        <v>3883</v>
      </c>
      <c r="V218" s="35">
        <f t="shared" si="489"/>
        <v>650292</v>
      </c>
      <c r="W218" s="35">
        <f t="shared" ref="W218:AB218" si="490">W209+W213+W208</f>
        <v>3885</v>
      </c>
      <c r="X218" s="35">
        <f t="shared" si="490"/>
        <v>654177</v>
      </c>
      <c r="Y218" s="35">
        <f t="shared" si="490"/>
        <v>7581</v>
      </c>
      <c r="Z218" s="35">
        <f t="shared" si="490"/>
        <v>661758</v>
      </c>
      <c r="AA218" s="35">
        <f t="shared" si="490"/>
        <v>6059</v>
      </c>
      <c r="AB218" s="35">
        <f t="shared" si="490"/>
        <v>667817</v>
      </c>
      <c r="AC218" s="35">
        <f t="shared" ref="AC218:AD218" si="491">AC209+AC213+AC208</f>
        <v>3659</v>
      </c>
      <c r="AD218" s="35">
        <f t="shared" si="491"/>
        <v>671476</v>
      </c>
      <c r="AE218" s="35">
        <f t="shared" ref="AE218:AF218" si="492">AE209+AE213+AE208</f>
        <v>9624</v>
      </c>
      <c r="AF218" s="35">
        <f t="shared" si="492"/>
        <v>681100</v>
      </c>
      <c r="AG218" s="35">
        <f t="shared" ref="AG218:AH218" si="493">AG209+AG213+AG208</f>
        <v>3638</v>
      </c>
      <c r="AH218" s="35">
        <f t="shared" si="493"/>
        <v>684738</v>
      </c>
      <c r="AI218" s="35">
        <f t="shared" ref="AI218" si="494">AI209+AI213+AI208</f>
        <v>658933</v>
      </c>
      <c r="AJ218" s="35">
        <f t="shared" ref="AJ218:AK218" si="495">AJ209+AJ213+AJ208</f>
        <v>15212</v>
      </c>
      <c r="AK218" s="35">
        <f t="shared" si="495"/>
        <v>674145</v>
      </c>
      <c r="AL218" s="34" t="s">
        <v>89</v>
      </c>
      <c r="AM218" s="426">
        <f>AM209+AM210+AM211+AM213</f>
        <v>615763</v>
      </c>
      <c r="AN218" s="426">
        <f t="shared" ref="AN218:BE218" si="496">AN209+AN210+AN211+AN213</f>
        <v>11434</v>
      </c>
      <c r="AO218" s="426">
        <f t="shared" si="496"/>
        <v>627197</v>
      </c>
      <c r="AP218" s="426">
        <f t="shared" si="496"/>
        <v>18946</v>
      </c>
      <c r="AQ218" s="426">
        <f t="shared" si="496"/>
        <v>646143</v>
      </c>
      <c r="AR218" s="426">
        <f t="shared" si="496"/>
        <v>3883</v>
      </c>
      <c r="AS218" s="426">
        <f t="shared" si="496"/>
        <v>650026</v>
      </c>
      <c r="AT218" s="426">
        <f t="shared" si="496"/>
        <v>3885</v>
      </c>
      <c r="AU218" s="426">
        <f t="shared" si="496"/>
        <v>653911</v>
      </c>
      <c r="AV218" s="426">
        <f t="shared" si="496"/>
        <v>7581</v>
      </c>
      <c r="AW218" s="426">
        <f t="shared" si="496"/>
        <v>661492</v>
      </c>
      <c r="AX218" s="426">
        <f t="shared" si="496"/>
        <v>6059</v>
      </c>
      <c r="AY218" s="426">
        <f t="shared" si="496"/>
        <v>667551</v>
      </c>
      <c r="AZ218" s="426">
        <f t="shared" si="496"/>
        <v>3659</v>
      </c>
      <c r="BA218" s="426">
        <f t="shared" si="496"/>
        <v>671210</v>
      </c>
      <c r="BB218" s="426">
        <f t="shared" si="496"/>
        <v>9624</v>
      </c>
      <c r="BC218" s="426">
        <f t="shared" si="496"/>
        <v>680834</v>
      </c>
      <c r="BD218" s="426">
        <f t="shared" si="496"/>
        <v>3638</v>
      </c>
      <c r="BE218" s="426">
        <f t="shared" si="496"/>
        <v>684472</v>
      </c>
      <c r="BF218" s="426">
        <f t="shared" ref="BF218:BH218" si="497">BF209+BF210+BF211+BF213</f>
        <v>658319</v>
      </c>
      <c r="BG218" s="426">
        <f t="shared" si="497"/>
        <v>15212</v>
      </c>
      <c r="BH218" s="426">
        <f t="shared" si="497"/>
        <v>673531</v>
      </c>
    </row>
    <row r="219" spans="1:60" ht="15.75">
      <c r="A219" s="34" t="s">
        <v>90</v>
      </c>
      <c r="B219" s="35">
        <f t="shared" ref="B219:O219" si="498">B210+B212</f>
        <v>0</v>
      </c>
      <c r="C219" s="35">
        <f t="shared" si="498"/>
        <v>0</v>
      </c>
      <c r="D219" s="35">
        <f t="shared" si="498"/>
        <v>0</v>
      </c>
      <c r="E219" s="35">
        <f t="shared" si="498"/>
        <v>0</v>
      </c>
      <c r="F219" s="35">
        <f t="shared" si="498"/>
        <v>0</v>
      </c>
      <c r="G219" s="35">
        <f t="shared" si="498"/>
        <v>0</v>
      </c>
      <c r="H219" s="35">
        <f t="shared" si="498"/>
        <v>0</v>
      </c>
      <c r="I219" s="35">
        <f t="shared" si="498"/>
        <v>0</v>
      </c>
      <c r="J219" s="35">
        <f t="shared" si="498"/>
        <v>0</v>
      </c>
      <c r="K219" s="35">
        <f t="shared" si="498"/>
        <v>0</v>
      </c>
      <c r="L219" s="35">
        <f t="shared" si="498"/>
        <v>0</v>
      </c>
      <c r="M219" s="35">
        <f t="shared" si="498"/>
        <v>0</v>
      </c>
      <c r="N219" s="35">
        <f t="shared" si="498"/>
        <v>0</v>
      </c>
      <c r="O219" s="35">
        <f t="shared" si="498"/>
        <v>0</v>
      </c>
      <c r="P219" s="35">
        <f>P210+P212</f>
        <v>0</v>
      </c>
      <c r="Q219" s="35">
        <f>Q210+Q212</f>
        <v>0</v>
      </c>
      <c r="R219" s="35">
        <f>R210+R212</f>
        <v>0</v>
      </c>
      <c r="S219" s="35">
        <f t="shared" ref="S219:V219" si="499">S210+S212</f>
        <v>0</v>
      </c>
      <c r="T219" s="35">
        <f t="shared" si="499"/>
        <v>0</v>
      </c>
      <c r="U219" s="35">
        <f t="shared" si="499"/>
        <v>0</v>
      </c>
      <c r="V219" s="35">
        <f t="shared" si="499"/>
        <v>0</v>
      </c>
      <c r="W219" s="35">
        <f t="shared" ref="W219:AB219" si="500">W210+W212</f>
        <v>0</v>
      </c>
      <c r="X219" s="35">
        <f t="shared" si="500"/>
        <v>0</v>
      </c>
      <c r="Y219" s="35">
        <f t="shared" si="500"/>
        <v>0</v>
      </c>
      <c r="Z219" s="35">
        <f t="shared" si="500"/>
        <v>0</v>
      </c>
      <c r="AA219" s="35">
        <f t="shared" si="500"/>
        <v>0</v>
      </c>
      <c r="AB219" s="35">
        <f t="shared" si="500"/>
        <v>0</v>
      </c>
      <c r="AC219" s="35">
        <f t="shared" ref="AC219:AD219" si="501">AC210+AC212</f>
        <v>0</v>
      </c>
      <c r="AD219" s="35">
        <f t="shared" si="501"/>
        <v>0</v>
      </c>
      <c r="AE219" s="35">
        <f t="shared" ref="AE219:AF219" si="502">AE210+AE212</f>
        <v>0</v>
      </c>
      <c r="AF219" s="35">
        <f t="shared" si="502"/>
        <v>0</v>
      </c>
      <c r="AG219" s="35">
        <f t="shared" ref="AG219:AH219" si="503">AG210+AG212</f>
        <v>0</v>
      </c>
      <c r="AH219" s="35">
        <f t="shared" si="503"/>
        <v>0</v>
      </c>
      <c r="AI219" s="35">
        <f t="shared" ref="AI219" si="504">AI210+AI212</f>
        <v>0</v>
      </c>
      <c r="AJ219" s="35">
        <f t="shared" ref="AJ219:AK219" si="505">AJ210+AJ212</f>
        <v>0</v>
      </c>
      <c r="AK219" s="35">
        <f t="shared" si="505"/>
        <v>0</v>
      </c>
      <c r="AL219" s="34" t="s">
        <v>91</v>
      </c>
      <c r="AM219" s="426">
        <f>AM214+AM215+AM216</f>
        <v>266</v>
      </c>
      <c r="AN219" s="426">
        <f t="shared" ref="AN219:BE219" si="506">AN214+AN215+AN216</f>
        <v>0</v>
      </c>
      <c r="AO219" s="426">
        <f t="shared" si="506"/>
        <v>266</v>
      </c>
      <c r="AP219" s="426">
        <f t="shared" si="506"/>
        <v>0</v>
      </c>
      <c r="AQ219" s="426">
        <f t="shared" si="506"/>
        <v>266</v>
      </c>
      <c r="AR219" s="426">
        <f t="shared" si="506"/>
        <v>0</v>
      </c>
      <c r="AS219" s="426">
        <f t="shared" si="506"/>
        <v>266</v>
      </c>
      <c r="AT219" s="426">
        <f t="shared" si="506"/>
        <v>0</v>
      </c>
      <c r="AU219" s="426">
        <f t="shared" si="506"/>
        <v>266</v>
      </c>
      <c r="AV219" s="426">
        <f t="shared" si="506"/>
        <v>0</v>
      </c>
      <c r="AW219" s="426">
        <f t="shared" si="506"/>
        <v>266</v>
      </c>
      <c r="AX219" s="426">
        <f t="shared" si="506"/>
        <v>0</v>
      </c>
      <c r="AY219" s="426">
        <f t="shared" si="506"/>
        <v>266</v>
      </c>
      <c r="AZ219" s="426">
        <f t="shared" si="506"/>
        <v>0</v>
      </c>
      <c r="BA219" s="426">
        <f t="shared" si="506"/>
        <v>266</v>
      </c>
      <c r="BB219" s="426">
        <f t="shared" si="506"/>
        <v>0</v>
      </c>
      <c r="BC219" s="426">
        <f t="shared" si="506"/>
        <v>266</v>
      </c>
      <c r="BD219" s="426">
        <f t="shared" si="506"/>
        <v>0</v>
      </c>
      <c r="BE219" s="426">
        <f t="shared" si="506"/>
        <v>266</v>
      </c>
      <c r="BF219" s="426">
        <f t="shared" ref="BF219:BH219" si="507">BF214+BF215+BF216</f>
        <v>614</v>
      </c>
      <c r="BG219" s="426">
        <f t="shared" si="507"/>
        <v>0</v>
      </c>
      <c r="BH219" s="426">
        <f t="shared" si="507"/>
        <v>614</v>
      </c>
    </row>
    <row r="220" spans="1:60" ht="15.75" customHeight="1">
      <c r="A220" s="709" t="s">
        <v>104</v>
      </c>
      <c r="B220" s="710"/>
      <c r="C220" s="710"/>
      <c r="D220" s="710"/>
      <c r="E220" s="710"/>
      <c r="F220" s="710"/>
      <c r="G220" s="710"/>
      <c r="H220" s="710"/>
      <c r="I220" s="710"/>
      <c r="J220" s="710"/>
      <c r="K220" s="710"/>
      <c r="L220" s="710"/>
      <c r="M220" s="710"/>
      <c r="N220" s="710"/>
      <c r="O220" s="710"/>
      <c r="P220" s="710"/>
      <c r="Q220" s="710"/>
      <c r="R220" s="710"/>
      <c r="S220" s="710"/>
      <c r="T220" s="710"/>
      <c r="U220" s="710"/>
      <c r="V220" s="710"/>
      <c r="W220" s="710"/>
      <c r="X220" s="710"/>
      <c r="Y220" s="710"/>
      <c r="Z220" s="710"/>
      <c r="AA220" s="710"/>
      <c r="AB220" s="710"/>
      <c r="AC220" s="710"/>
      <c r="AD220" s="710"/>
      <c r="AE220" s="710"/>
      <c r="AF220" s="710"/>
      <c r="AG220" s="710"/>
      <c r="AH220" s="710"/>
      <c r="AI220" s="710"/>
      <c r="AJ220" s="710"/>
      <c r="AK220" s="710"/>
      <c r="AL220" s="710"/>
      <c r="AM220" s="710"/>
      <c r="AN220" s="710"/>
      <c r="AO220" s="710"/>
      <c r="AP220" s="710"/>
      <c r="AQ220" s="710"/>
      <c r="AR220" s="710"/>
      <c r="AS220" s="710"/>
      <c r="AT220" s="710"/>
      <c r="AU220" s="710"/>
      <c r="AV220" s="710"/>
      <c r="AW220" s="710"/>
      <c r="AX220" s="710"/>
      <c r="AY220" s="710"/>
      <c r="AZ220" s="710"/>
      <c r="BA220" s="710"/>
      <c r="BB220" s="710"/>
      <c r="BC220" s="710"/>
      <c r="BD220" s="710"/>
      <c r="BE220" s="710"/>
      <c r="BF220" s="710"/>
      <c r="BG220" s="710"/>
      <c r="BH220" s="711"/>
    </row>
    <row r="221" spans="1:60">
      <c r="A221" s="12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446"/>
      <c r="AM221" s="18"/>
      <c r="AN221" s="18"/>
      <c r="AO221" s="18"/>
      <c r="AP221" s="18"/>
      <c r="AQ221" s="18"/>
      <c r="AR221" s="18"/>
      <c r="AS221" s="18"/>
      <c r="AT221" s="18"/>
      <c r="AU221" s="18"/>
      <c r="AV221" s="18"/>
      <c r="AW221" s="18"/>
      <c r="AX221" s="18"/>
      <c r="AY221" s="18"/>
      <c r="AZ221" s="18"/>
      <c r="BA221" s="18"/>
      <c r="BB221" s="18"/>
      <c r="BC221" s="18"/>
      <c r="BD221" s="18"/>
      <c r="BE221" s="18"/>
      <c r="BF221" s="18"/>
      <c r="BG221" s="18"/>
      <c r="BH221" s="18"/>
    </row>
    <row r="222" spans="1:60" ht="15.75">
      <c r="A222" s="39" t="s">
        <v>9</v>
      </c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>
        <v>600</v>
      </c>
      <c r="M222" s="19">
        <f>SUM(K222:L222)</f>
        <v>600</v>
      </c>
      <c r="N222" s="19"/>
      <c r="O222" s="19">
        <f>SUM(M222:N222)</f>
        <v>600</v>
      </c>
      <c r="P222" s="19"/>
      <c r="Q222" s="19"/>
      <c r="R222" s="19"/>
      <c r="S222" s="19"/>
      <c r="T222" s="19">
        <f>SUM(R222:S222)</f>
        <v>0</v>
      </c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446"/>
      <c r="AM222" s="18"/>
      <c r="AN222" s="18"/>
      <c r="AO222" s="18"/>
      <c r="AP222" s="18"/>
      <c r="AQ222" s="18"/>
      <c r="AR222" s="18"/>
      <c r="AS222" s="18"/>
      <c r="AT222" s="18"/>
      <c r="AU222" s="18"/>
      <c r="AV222" s="18"/>
      <c r="AW222" s="18"/>
      <c r="AX222" s="18"/>
      <c r="AY222" s="18"/>
      <c r="AZ222" s="18"/>
      <c r="BA222" s="18"/>
      <c r="BB222" s="18"/>
      <c r="BC222" s="18"/>
      <c r="BD222" s="18"/>
      <c r="BE222" s="18"/>
      <c r="BF222" s="18"/>
      <c r="BG222" s="18"/>
      <c r="BH222" s="18"/>
    </row>
    <row r="223" spans="1:60" ht="15.75">
      <c r="A223" s="39" t="s">
        <v>36</v>
      </c>
      <c r="B223" s="19">
        <v>58704</v>
      </c>
      <c r="C223" s="19">
        <f>SUM(B223:B223)</f>
        <v>58704</v>
      </c>
      <c r="D223" s="19"/>
      <c r="E223" s="19">
        <f>SUM(C223:D223)</f>
        <v>58704</v>
      </c>
      <c r="F223" s="19"/>
      <c r="G223" s="19">
        <f>SUM(E223:F223)</f>
        <v>58704</v>
      </c>
      <c r="H223" s="19">
        <v>489</v>
      </c>
      <c r="I223" s="19">
        <f>SUM(G223:H223)</f>
        <v>59193</v>
      </c>
      <c r="J223" s="19"/>
      <c r="K223" s="19">
        <f>SUM(I223:J223)</f>
        <v>59193</v>
      </c>
      <c r="L223" s="19"/>
      <c r="M223" s="19">
        <f>SUM(K223:L223)</f>
        <v>59193</v>
      </c>
      <c r="N223" s="19">
        <v>45879</v>
      </c>
      <c r="O223" s="19">
        <f>SUM(M223:N223)</f>
        <v>105072</v>
      </c>
      <c r="P223" s="19">
        <v>42322</v>
      </c>
      <c r="Q223" s="19"/>
      <c r="R223" s="19">
        <f>SUM(P223:Q223)</f>
        <v>42322</v>
      </c>
      <c r="S223" s="19"/>
      <c r="T223" s="19">
        <f>SUM(R223:S223)</f>
        <v>42322</v>
      </c>
      <c r="U223" s="19"/>
      <c r="V223" s="19">
        <f>SUM(T223:U223)</f>
        <v>42322</v>
      </c>
      <c r="W223" s="19"/>
      <c r="X223" s="19">
        <f>SUM(V223:W223)</f>
        <v>42322</v>
      </c>
      <c r="Y223" s="19"/>
      <c r="Z223" s="19">
        <f>SUM(X223:Y223)</f>
        <v>42322</v>
      </c>
      <c r="AA223" s="19"/>
      <c r="AB223" s="19">
        <f>SUM(Z223:AA223)</f>
        <v>42322</v>
      </c>
      <c r="AC223" s="19"/>
      <c r="AD223" s="19">
        <f>SUM(AB223:AC223)</f>
        <v>42322</v>
      </c>
      <c r="AE223" s="19">
        <v>-4053</v>
      </c>
      <c r="AF223" s="19">
        <f>SUM(AD223:AE223)</f>
        <v>38269</v>
      </c>
      <c r="AG223" s="19"/>
      <c r="AH223" s="19">
        <f>SUM(AF223:AG223)</f>
        <v>38269</v>
      </c>
      <c r="AI223" s="19"/>
      <c r="AJ223" s="19"/>
      <c r="AK223" s="19"/>
      <c r="AL223" s="11" t="s">
        <v>10</v>
      </c>
      <c r="AM223" s="388">
        <v>30099</v>
      </c>
      <c r="AN223" s="388">
        <v>533</v>
      </c>
      <c r="AO223" s="388">
        <f>SUM(AM223:AN223)</f>
        <v>30632</v>
      </c>
      <c r="AP223" s="388">
        <v>2404</v>
      </c>
      <c r="AQ223" s="388">
        <f>SUM(AO223:AP223)</f>
        <v>33036</v>
      </c>
      <c r="AR223" s="388">
        <v>188</v>
      </c>
      <c r="AS223" s="388">
        <f>SUM(AQ223:AR223)</f>
        <v>33224</v>
      </c>
      <c r="AT223" s="388">
        <v>188</v>
      </c>
      <c r="AU223" s="388">
        <f>SUM(AS223:AT223)</f>
        <v>33412</v>
      </c>
      <c r="AV223" s="388">
        <v>376</v>
      </c>
      <c r="AW223" s="388">
        <f>SUM(AU223:AV223)</f>
        <v>33788</v>
      </c>
      <c r="AX223" s="388">
        <v>188</v>
      </c>
      <c r="AY223" s="388">
        <f>SUM(AW223:AX223)</f>
        <v>33976</v>
      </c>
      <c r="AZ223" s="388">
        <v>188</v>
      </c>
      <c r="BA223" s="388">
        <f>SUM(AY223:AZ223)</f>
        <v>34164</v>
      </c>
      <c r="BB223" s="388">
        <v>1576</v>
      </c>
      <c r="BC223" s="388">
        <f>SUM(BA223:BB223)</f>
        <v>35740</v>
      </c>
      <c r="BD223" s="388">
        <v>176</v>
      </c>
      <c r="BE223" s="388">
        <f>SUM(BC223:BD223)</f>
        <v>35916</v>
      </c>
      <c r="BF223" s="388">
        <v>29934</v>
      </c>
      <c r="BG223" s="18">
        <v>558</v>
      </c>
      <c r="BH223" s="388">
        <f>SUM(BF223:BG223)</f>
        <v>30492</v>
      </c>
    </row>
    <row r="224" spans="1:60">
      <c r="A224" s="10" t="s">
        <v>59</v>
      </c>
      <c r="B224" s="19"/>
      <c r="C224" s="19">
        <f>SUM(B224:B224)</f>
        <v>0</v>
      </c>
      <c r="D224" s="19"/>
      <c r="E224" s="19">
        <f>SUM(C224:D224)</f>
        <v>0</v>
      </c>
      <c r="F224" s="19"/>
      <c r="G224" s="19">
        <f>SUM(E224:F224)</f>
        <v>0</v>
      </c>
      <c r="H224" s="19"/>
      <c r="I224" s="19">
        <f>SUM(G224:H224)</f>
        <v>0</v>
      </c>
      <c r="J224" s="19"/>
      <c r="K224" s="19">
        <f>SUM(I224:J224)</f>
        <v>0</v>
      </c>
      <c r="L224" s="19"/>
      <c r="M224" s="19">
        <f>SUM(K224:L224)</f>
        <v>0</v>
      </c>
      <c r="N224" s="19"/>
      <c r="O224" s="19">
        <v>1517</v>
      </c>
      <c r="P224" s="19">
        <v>1002</v>
      </c>
      <c r="Q224" s="19"/>
      <c r="R224" s="19">
        <f>SUM(P224:Q224)</f>
        <v>1002</v>
      </c>
      <c r="S224" s="19">
        <v>1087</v>
      </c>
      <c r="T224" s="19">
        <f>SUM(R224:S224)</f>
        <v>2089</v>
      </c>
      <c r="U224" s="19"/>
      <c r="V224" s="19">
        <f>SUM(T224:U224)</f>
        <v>2089</v>
      </c>
      <c r="W224" s="19"/>
      <c r="X224" s="19">
        <f>SUM(V224:W224)</f>
        <v>2089</v>
      </c>
      <c r="Y224" s="19"/>
      <c r="Z224" s="19">
        <f>SUM(X224:Y224)</f>
        <v>2089</v>
      </c>
      <c r="AA224" s="19"/>
      <c r="AB224" s="19">
        <f>SUM(Z224:AA224)</f>
        <v>2089</v>
      </c>
      <c r="AC224" s="19"/>
      <c r="AD224" s="19">
        <f>SUM(AB224:AC224)</f>
        <v>2089</v>
      </c>
      <c r="AE224" s="19">
        <v>-726</v>
      </c>
      <c r="AF224" s="19">
        <f>SUM(AD224:AE224)</f>
        <v>1363</v>
      </c>
      <c r="AG224" s="19"/>
      <c r="AH224" s="19">
        <f>SUM(AF224:AG224)</f>
        <v>1363</v>
      </c>
      <c r="AI224" s="19">
        <v>1300</v>
      </c>
      <c r="AJ224" s="19"/>
      <c r="AK224" s="19">
        <f>SUM(AI224:AJ224)</f>
        <v>1300</v>
      </c>
      <c r="AL224" s="10" t="s">
        <v>12</v>
      </c>
      <c r="AM224" s="388">
        <v>5911</v>
      </c>
      <c r="AN224" s="388">
        <v>104</v>
      </c>
      <c r="AO224" s="388">
        <f t="shared" ref="AO224:AO225" si="508">SUM(AM224:AN224)</f>
        <v>6015</v>
      </c>
      <c r="AP224" s="388">
        <v>482</v>
      </c>
      <c r="AQ224" s="388">
        <f t="shared" ref="AQ224:AQ229" si="509">SUM(AO224:AP224)</f>
        <v>6497</v>
      </c>
      <c r="AR224" s="388">
        <v>37</v>
      </c>
      <c r="AS224" s="388">
        <f t="shared" ref="AS224:AS229" si="510">SUM(AQ224:AR224)</f>
        <v>6534</v>
      </c>
      <c r="AT224" s="388">
        <v>37</v>
      </c>
      <c r="AU224" s="388">
        <f t="shared" ref="AU224:AU225" si="511">SUM(AS224:AT224)</f>
        <v>6571</v>
      </c>
      <c r="AV224" s="388">
        <v>70</v>
      </c>
      <c r="AW224" s="388">
        <f t="shared" ref="AW224:AW225" si="512">SUM(AU224:AV224)</f>
        <v>6641</v>
      </c>
      <c r="AX224" s="388">
        <v>33</v>
      </c>
      <c r="AY224" s="388">
        <f t="shared" ref="AY224:AY225" si="513">SUM(AW224:AX224)</f>
        <v>6674</v>
      </c>
      <c r="AZ224" s="388">
        <v>33</v>
      </c>
      <c r="BA224" s="388">
        <f t="shared" ref="BA224:BA225" si="514">SUM(AY224:AZ224)</f>
        <v>6707</v>
      </c>
      <c r="BB224" s="388">
        <v>31</v>
      </c>
      <c r="BC224" s="388">
        <f t="shared" ref="BC224:BC225" si="515">SUM(BA224:BB224)</f>
        <v>6738</v>
      </c>
      <c r="BD224" s="388">
        <v>31</v>
      </c>
      <c r="BE224" s="388">
        <f t="shared" ref="BE224:BE230" si="516">SUM(BC224:BD224)</f>
        <v>6769</v>
      </c>
      <c r="BF224" s="388">
        <v>5285</v>
      </c>
      <c r="BG224" s="18">
        <v>98</v>
      </c>
      <c r="BH224" s="388">
        <f t="shared" ref="BH224:BH225" si="517">SUM(BF224:BG224)</f>
        <v>5383</v>
      </c>
    </row>
    <row r="225" spans="1:60">
      <c r="A225" s="10" t="s">
        <v>67</v>
      </c>
      <c r="B225" s="19"/>
      <c r="C225" s="19">
        <f>SUM(B225:B225)</f>
        <v>0</v>
      </c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4" t="s">
        <v>14</v>
      </c>
      <c r="AM225" s="388">
        <v>27276</v>
      </c>
      <c r="AN225" s="388"/>
      <c r="AO225" s="388">
        <f t="shared" si="508"/>
        <v>27276</v>
      </c>
      <c r="AP225" s="388">
        <v>2623</v>
      </c>
      <c r="AQ225" s="388">
        <f t="shared" si="509"/>
        <v>29899</v>
      </c>
      <c r="AR225" s="388"/>
      <c r="AS225" s="388">
        <f t="shared" si="510"/>
        <v>29899</v>
      </c>
      <c r="AT225" s="388">
        <v>40</v>
      </c>
      <c r="AU225" s="388">
        <f t="shared" si="511"/>
        <v>29939</v>
      </c>
      <c r="AV225" s="388"/>
      <c r="AW225" s="388">
        <f t="shared" si="512"/>
        <v>29939</v>
      </c>
      <c r="AX225" s="388">
        <v>200</v>
      </c>
      <c r="AY225" s="388">
        <f t="shared" si="513"/>
        <v>30139</v>
      </c>
      <c r="AZ225" s="388"/>
      <c r="BA225" s="388">
        <f t="shared" si="514"/>
        <v>30139</v>
      </c>
      <c r="BB225" s="388">
        <v>-8549</v>
      </c>
      <c r="BC225" s="388">
        <f t="shared" si="515"/>
        <v>21590</v>
      </c>
      <c r="BD225" s="388"/>
      <c r="BE225" s="388">
        <f t="shared" si="516"/>
        <v>21590</v>
      </c>
      <c r="BF225" s="388">
        <v>3168</v>
      </c>
      <c r="BG225" s="18"/>
      <c r="BH225" s="388">
        <f t="shared" si="517"/>
        <v>3168</v>
      </c>
    </row>
    <row r="226" spans="1:60">
      <c r="A226" s="10" t="s">
        <v>70</v>
      </c>
      <c r="B226" s="19"/>
      <c r="C226" s="19">
        <f>SUM(B226:B226)</f>
        <v>0</v>
      </c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5" t="s">
        <v>16</v>
      </c>
      <c r="AM226" s="388"/>
      <c r="AN226" s="388"/>
      <c r="AO226" s="388"/>
      <c r="AP226" s="388"/>
      <c r="AQ226" s="388"/>
      <c r="AR226" s="388"/>
      <c r="AS226" s="388"/>
      <c r="AT226" s="388"/>
      <c r="AU226" s="388"/>
      <c r="AV226" s="388"/>
      <c r="AW226" s="388"/>
      <c r="AX226" s="388"/>
      <c r="AY226" s="388"/>
      <c r="AZ226" s="388"/>
      <c r="BA226" s="388"/>
      <c r="BB226" s="388"/>
      <c r="BC226" s="388"/>
      <c r="BD226" s="388"/>
      <c r="BE226" s="388">
        <f t="shared" si="516"/>
        <v>0</v>
      </c>
      <c r="BF226" s="388"/>
      <c r="BG226" s="18"/>
      <c r="BH226" s="388"/>
    </row>
    <row r="227" spans="1:60">
      <c r="A227" s="10" t="s">
        <v>72</v>
      </c>
      <c r="B227" s="19"/>
      <c r="C227" s="19">
        <f>SUM(B227:B227)</f>
        <v>0</v>
      </c>
      <c r="D227" s="13"/>
      <c r="E227" s="13"/>
      <c r="F227" s="13"/>
      <c r="G227" s="19"/>
      <c r="H227" s="13"/>
      <c r="I227" s="13"/>
      <c r="J227" s="13"/>
      <c r="K227" s="13"/>
      <c r="L227" s="19"/>
      <c r="M227" s="19"/>
      <c r="N227" s="19"/>
      <c r="O227" s="19"/>
      <c r="P227" s="19"/>
      <c r="Q227" s="19"/>
      <c r="R227" s="19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3"/>
      <c r="AI227" s="13"/>
      <c r="AJ227" s="13"/>
      <c r="AK227" s="13"/>
      <c r="AL227" s="14" t="s">
        <v>18</v>
      </c>
      <c r="AM227" s="388"/>
      <c r="AN227" s="388"/>
      <c r="AO227" s="388"/>
      <c r="AP227" s="388">
        <v>20000</v>
      </c>
      <c r="AQ227" s="388">
        <f t="shared" si="509"/>
        <v>20000</v>
      </c>
      <c r="AR227" s="388"/>
      <c r="AS227" s="388">
        <f t="shared" si="510"/>
        <v>20000</v>
      </c>
      <c r="AT227" s="388"/>
      <c r="AU227" s="388">
        <f t="shared" ref="AU227:AU229" si="518">SUM(AS227:AT227)</f>
        <v>20000</v>
      </c>
      <c r="AV227" s="388"/>
      <c r="AW227" s="388">
        <f t="shared" ref="AW227:AW229" si="519">SUM(AU227:AV227)</f>
        <v>20000</v>
      </c>
      <c r="AX227" s="388"/>
      <c r="AY227" s="388">
        <f t="shared" ref="AY227:AY229" si="520">SUM(AW227:AX227)</f>
        <v>20000</v>
      </c>
      <c r="AZ227" s="388"/>
      <c r="BA227" s="388">
        <f t="shared" ref="BA227:BA229" si="521">SUM(AY227:AZ227)</f>
        <v>20000</v>
      </c>
      <c r="BB227" s="388"/>
      <c r="BC227" s="388">
        <f t="shared" ref="BC227:BC229" si="522">SUM(BA227:BB227)</f>
        <v>20000</v>
      </c>
      <c r="BD227" s="388"/>
      <c r="BE227" s="388">
        <f t="shared" si="516"/>
        <v>20000</v>
      </c>
      <c r="BF227" s="388"/>
      <c r="BG227" s="18"/>
      <c r="BH227" s="388"/>
    </row>
    <row r="228" spans="1:60">
      <c r="A228" s="10" t="s">
        <v>79</v>
      </c>
      <c r="B228" s="13">
        <f t="shared" ref="B228:AK228" si="523">B229+B230</f>
        <v>668</v>
      </c>
      <c r="C228" s="13">
        <f t="shared" si="523"/>
        <v>668</v>
      </c>
      <c r="D228" s="13">
        <f t="shared" si="523"/>
        <v>2349</v>
      </c>
      <c r="E228" s="13">
        <f t="shared" si="523"/>
        <v>3017</v>
      </c>
      <c r="F228" s="13">
        <f t="shared" si="523"/>
        <v>440</v>
      </c>
      <c r="G228" s="13">
        <f t="shared" si="523"/>
        <v>3457</v>
      </c>
      <c r="H228" s="13">
        <f t="shared" si="523"/>
        <v>22519</v>
      </c>
      <c r="I228" s="13">
        <f t="shared" si="523"/>
        <v>25976</v>
      </c>
      <c r="J228" s="13">
        <f t="shared" si="523"/>
        <v>430</v>
      </c>
      <c r="K228" s="13">
        <f t="shared" si="523"/>
        <v>26406</v>
      </c>
      <c r="L228" s="13">
        <f t="shared" si="523"/>
        <v>4309</v>
      </c>
      <c r="M228" s="13">
        <f t="shared" si="523"/>
        <v>30715</v>
      </c>
      <c r="N228" s="13">
        <f t="shared" si="523"/>
        <v>303</v>
      </c>
      <c r="O228" s="13">
        <f t="shared" si="523"/>
        <v>63778</v>
      </c>
      <c r="P228" s="13">
        <f t="shared" si="523"/>
        <v>36836</v>
      </c>
      <c r="Q228" s="13">
        <f t="shared" si="523"/>
        <v>637</v>
      </c>
      <c r="R228" s="13">
        <f t="shared" si="523"/>
        <v>37473</v>
      </c>
      <c r="S228" s="13">
        <f t="shared" si="523"/>
        <v>50102</v>
      </c>
      <c r="T228" s="13">
        <f t="shared" si="523"/>
        <v>87575</v>
      </c>
      <c r="U228" s="13">
        <f t="shared" si="523"/>
        <v>225</v>
      </c>
      <c r="V228" s="13">
        <f t="shared" si="523"/>
        <v>87800</v>
      </c>
      <c r="W228" s="13">
        <f t="shared" si="523"/>
        <v>265</v>
      </c>
      <c r="X228" s="13">
        <f t="shared" si="523"/>
        <v>88065</v>
      </c>
      <c r="Y228" s="13">
        <f t="shared" si="523"/>
        <v>446</v>
      </c>
      <c r="Z228" s="13">
        <f t="shared" si="523"/>
        <v>88511</v>
      </c>
      <c r="AA228" s="13">
        <f t="shared" si="523"/>
        <v>421</v>
      </c>
      <c r="AB228" s="13">
        <f t="shared" si="523"/>
        <v>88932</v>
      </c>
      <c r="AC228" s="13">
        <f t="shared" si="523"/>
        <v>221</v>
      </c>
      <c r="AD228" s="13">
        <f t="shared" si="523"/>
        <v>89153</v>
      </c>
      <c r="AE228" s="13">
        <f t="shared" si="523"/>
        <v>4007</v>
      </c>
      <c r="AF228" s="13">
        <f t="shared" si="523"/>
        <v>93160</v>
      </c>
      <c r="AG228" s="13">
        <f t="shared" si="523"/>
        <v>207</v>
      </c>
      <c r="AH228" s="13">
        <f t="shared" si="523"/>
        <v>93367</v>
      </c>
      <c r="AI228" s="13">
        <f t="shared" si="523"/>
        <v>37468</v>
      </c>
      <c r="AJ228" s="13">
        <f t="shared" si="523"/>
        <v>656</v>
      </c>
      <c r="AK228" s="13">
        <f t="shared" si="523"/>
        <v>38124</v>
      </c>
      <c r="AL228" s="10" t="s">
        <v>37</v>
      </c>
      <c r="AM228" s="388"/>
      <c r="AN228" s="388"/>
      <c r="AO228" s="388"/>
      <c r="AP228" s="388">
        <v>13700</v>
      </c>
      <c r="AQ228" s="388">
        <f t="shared" si="509"/>
        <v>13700</v>
      </c>
      <c r="AR228" s="388"/>
      <c r="AS228" s="388">
        <f t="shared" si="510"/>
        <v>13700</v>
      </c>
      <c r="AT228" s="388"/>
      <c r="AU228" s="388">
        <f t="shared" si="518"/>
        <v>13700</v>
      </c>
      <c r="AV228" s="388"/>
      <c r="AW228" s="388">
        <f t="shared" si="519"/>
        <v>13700</v>
      </c>
      <c r="AX228" s="388"/>
      <c r="AY228" s="388">
        <f t="shared" si="520"/>
        <v>13700</v>
      </c>
      <c r="AZ228" s="388"/>
      <c r="BA228" s="388">
        <f t="shared" si="521"/>
        <v>13700</v>
      </c>
      <c r="BB228" s="388">
        <v>13700</v>
      </c>
      <c r="BC228" s="388">
        <f t="shared" si="522"/>
        <v>27400</v>
      </c>
      <c r="BD228" s="388"/>
      <c r="BE228" s="388">
        <f t="shared" si="516"/>
        <v>27400</v>
      </c>
      <c r="BF228" s="388">
        <v>381</v>
      </c>
      <c r="BG228" s="18"/>
      <c r="BH228" s="388">
        <f>SUM(BF228:BG228)</f>
        <v>381</v>
      </c>
    </row>
    <row r="229" spans="1:60">
      <c r="A229" s="12" t="s">
        <v>93</v>
      </c>
      <c r="B229" s="19"/>
      <c r="C229" s="19">
        <f>SUM(B229:B229)</f>
        <v>0</v>
      </c>
      <c r="D229" s="19">
        <v>2349</v>
      </c>
      <c r="E229" s="19">
        <f>SUM(C229:D229)</f>
        <v>2349</v>
      </c>
      <c r="F229" s="19"/>
      <c r="G229" s="19">
        <f>SUM(E229:F229)</f>
        <v>2349</v>
      </c>
      <c r="H229" s="19"/>
      <c r="I229" s="19">
        <f>SUM(G229:H229)</f>
        <v>2349</v>
      </c>
      <c r="J229" s="19"/>
      <c r="K229" s="19">
        <f>SUM(I229:J229)</f>
        <v>2349</v>
      </c>
      <c r="L229" s="19"/>
      <c r="M229" s="19">
        <f>SUM(K229:L229)</f>
        <v>2349</v>
      </c>
      <c r="N229" s="19"/>
      <c r="O229" s="19">
        <f>SUM(M229:N229)</f>
        <v>2349</v>
      </c>
      <c r="P229" s="19"/>
      <c r="Q229" s="19"/>
      <c r="R229" s="19"/>
      <c r="S229" s="19">
        <v>45117</v>
      </c>
      <c r="T229" s="19">
        <f>SUM(R229:S229)</f>
        <v>45117</v>
      </c>
      <c r="U229" s="19"/>
      <c r="V229" s="19">
        <f>SUM(T229:U229)</f>
        <v>45117</v>
      </c>
      <c r="W229" s="19"/>
      <c r="X229" s="19">
        <f>SUM(V229:W229)</f>
        <v>45117</v>
      </c>
      <c r="Y229" s="19"/>
      <c r="Z229" s="19">
        <f>SUM(X229:Y229)</f>
        <v>45117</v>
      </c>
      <c r="AA229" s="19"/>
      <c r="AB229" s="19">
        <f>SUM(Z229:AA229)</f>
        <v>45117</v>
      </c>
      <c r="AC229" s="19"/>
      <c r="AD229" s="19">
        <f>SUM(AB229:AC229)</f>
        <v>45117</v>
      </c>
      <c r="AE229" s="19"/>
      <c r="AF229" s="19">
        <f>SUM(AD229:AE229)</f>
        <v>45117</v>
      </c>
      <c r="AG229" s="19"/>
      <c r="AH229" s="19">
        <f>SUM(AF229:AG229)</f>
        <v>45117</v>
      </c>
      <c r="AI229" s="19"/>
      <c r="AJ229" s="19"/>
      <c r="AK229" s="19"/>
      <c r="AL229" s="10" t="s">
        <v>39</v>
      </c>
      <c r="AM229" s="388">
        <v>16874</v>
      </c>
      <c r="AN229" s="388"/>
      <c r="AO229" s="388">
        <f>SUM(AM229:AN229)</f>
        <v>16874</v>
      </c>
      <c r="AP229" s="388">
        <v>11980</v>
      </c>
      <c r="AQ229" s="388">
        <f t="shared" si="509"/>
        <v>28854</v>
      </c>
      <c r="AR229" s="388"/>
      <c r="AS229" s="388">
        <f t="shared" si="510"/>
        <v>28854</v>
      </c>
      <c r="AT229" s="388"/>
      <c r="AU229" s="388">
        <f t="shared" si="518"/>
        <v>28854</v>
      </c>
      <c r="AV229" s="388"/>
      <c r="AW229" s="388">
        <f t="shared" si="519"/>
        <v>28854</v>
      </c>
      <c r="AX229" s="388"/>
      <c r="AY229" s="388">
        <f t="shared" si="520"/>
        <v>28854</v>
      </c>
      <c r="AZ229" s="388"/>
      <c r="BA229" s="388">
        <f t="shared" si="521"/>
        <v>28854</v>
      </c>
      <c r="BB229" s="388">
        <v>-7530</v>
      </c>
      <c r="BC229" s="388">
        <f t="shared" si="522"/>
        <v>21324</v>
      </c>
      <c r="BD229" s="388"/>
      <c r="BE229" s="388">
        <f t="shared" si="516"/>
        <v>21324</v>
      </c>
      <c r="BF229" s="388"/>
      <c r="BG229" s="18"/>
      <c r="BH229" s="18"/>
    </row>
    <row r="230" spans="1:60">
      <c r="A230" s="25" t="s">
        <v>95</v>
      </c>
      <c r="B230" s="19">
        <v>668</v>
      </c>
      <c r="C230" s="19">
        <f>SUM(B230:B230)</f>
        <v>668</v>
      </c>
      <c r="D230" s="19"/>
      <c r="E230" s="19">
        <f>SUM(C230:D230)</f>
        <v>668</v>
      </c>
      <c r="F230" s="19">
        <v>440</v>
      </c>
      <c r="G230" s="19">
        <f>SUM(E230:F230)</f>
        <v>1108</v>
      </c>
      <c r="H230" s="19">
        <v>22519</v>
      </c>
      <c r="I230" s="19">
        <f>SUM(G230:H230)</f>
        <v>23627</v>
      </c>
      <c r="J230" s="19">
        <v>430</v>
      </c>
      <c r="K230" s="19">
        <f>SUM(I230:J230)</f>
        <v>24057</v>
      </c>
      <c r="L230" s="19">
        <v>4309</v>
      </c>
      <c r="M230" s="19">
        <f>SUM(K230:L230)</f>
        <v>28366</v>
      </c>
      <c r="N230" s="19">
        <v>303</v>
      </c>
      <c r="O230" s="19">
        <v>61429</v>
      </c>
      <c r="P230" s="19">
        <v>36836</v>
      </c>
      <c r="Q230" s="19">
        <v>637</v>
      </c>
      <c r="R230" s="19">
        <f>SUM(P230:Q230)</f>
        <v>37473</v>
      </c>
      <c r="S230" s="19">
        <v>4985</v>
      </c>
      <c r="T230" s="19">
        <f>SUM(R230:S230)</f>
        <v>42458</v>
      </c>
      <c r="U230" s="19">
        <v>225</v>
      </c>
      <c r="V230" s="19">
        <f t="shared" ref="V230" si="524">SUM(T230:U230)</f>
        <v>42683</v>
      </c>
      <c r="W230" s="19">
        <v>265</v>
      </c>
      <c r="X230" s="19">
        <f>SUM(V230:W230)</f>
        <v>42948</v>
      </c>
      <c r="Y230" s="19">
        <v>446</v>
      </c>
      <c r="Z230" s="19">
        <f>SUM(X230:Y230)</f>
        <v>43394</v>
      </c>
      <c r="AA230" s="19">
        <v>421</v>
      </c>
      <c r="AB230" s="19">
        <f>SUM(Z230:AA230)</f>
        <v>43815</v>
      </c>
      <c r="AC230" s="19">
        <v>221</v>
      </c>
      <c r="AD230" s="19">
        <f>SUM(AB230:AC230)</f>
        <v>44036</v>
      </c>
      <c r="AE230" s="19">
        <v>4007</v>
      </c>
      <c r="AF230" s="19">
        <f>SUM(AD230:AE230)</f>
        <v>48043</v>
      </c>
      <c r="AG230" s="19">
        <v>207</v>
      </c>
      <c r="AH230" s="19">
        <f>SUM(AF230:AG230)</f>
        <v>48250</v>
      </c>
      <c r="AI230" s="19">
        <f>39160-1692</f>
        <v>37468</v>
      </c>
      <c r="AJ230" s="19">
        <v>656</v>
      </c>
      <c r="AK230" s="19">
        <f>SUM(AI230:AJ230)</f>
        <v>38124</v>
      </c>
      <c r="AL230" s="10" t="s">
        <v>40</v>
      </c>
      <c r="AM230" s="388"/>
      <c r="AN230" s="388"/>
      <c r="AO230" s="388"/>
      <c r="AP230" s="388"/>
      <c r="AQ230" s="388"/>
      <c r="AR230" s="388"/>
      <c r="AS230" s="388"/>
      <c r="AT230" s="388"/>
      <c r="AU230" s="388"/>
      <c r="AV230" s="388"/>
      <c r="AW230" s="388"/>
      <c r="AX230" s="388"/>
      <c r="AY230" s="388"/>
      <c r="AZ230" s="388"/>
      <c r="BA230" s="388"/>
      <c r="BB230" s="388"/>
      <c r="BC230" s="388"/>
      <c r="BD230" s="388"/>
      <c r="BE230" s="388">
        <f t="shared" si="516"/>
        <v>0</v>
      </c>
      <c r="BF230" s="388"/>
      <c r="BG230" s="18"/>
      <c r="BH230" s="18"/>
    </row>
    <row r="231" spans="1:60" ht="15.75">
      <c r="A231" s="32" t="s">
        <v>96</v>
      </c>
      <c r="B231" s="355">
        <f t="shared" ref="B231:K231" si="525">B224+B225+B226+B227+B228+B222+B223</f>
        <v>59372</v>
      </c>
      <c r="C231" s="355">
        <f t="shared" si="525"/>
        <v>59372</v>
      </c>
      <c r="D231" s="355">
        <f t="shared" si="525"/>
        <v>2349</v>
      </c>
      <c r="E231" s="355">
        <f t="shared" si="525"/>
        <v>61721</v>
      </c>
      <c r="F231" s="355">
        <f t="shared" si="525"/>
        <v>440</v>
      </c>
      <c r="G231" s="355">
        <f t="shared" si="525"/>
        <v>62161</v>
      </c>
      <c r="H231" s="355">
        <f t="shared" si="525"/>
        <v>23008</v>
      </c>
      <c r="I231" s="355">
        <f t="shared" si="525"/>
        <v>85169</v>
      </c>
      <c r="J231" s="355">
        <f t="shared" si="525"/>
        <v>430</v>
      </c>
      <c r="K231" s="355">
        <f t="shared" si="525"/>
        <v>85599</v>
      </c>
      <c r="L231" s="355">
        <f t="shared" ref="L231:V231" si="526">L224+L225+L226+L227+L228+L223+L222</f>
        <v>4909</v>
      </c>
      <c r="M231" s="355">
        <f t="shared" si="526"/>
        <v>90508</v>
      </c>
      <c r="N231" s="355">
        <f t="shared" si="526"/>
        <v>46182</v>
      </c>
      <c r="O231" s="355">
        <f t="shared" si="526"/>
        <v>170967</v>
      </c>
      <c r="P231" s="355">
        <f t="shared" si="526"/>
        <v>80160</v>
      </c>
      <c r="Q231" s="355">
        <f t="shared" si="526"/>
        <v>637</v>
      </c>
      <c r="R231" s="355">
        <f t="shared" si="526"/>
        <v>80797</v>
      </c>
      <c r="S231" s="355">
        <f t="shared" si="526"/>
        <v>51189</v>
      </c>
      <c r="T231" s="355">
        <f t="shared" si="526"/>
        <v>131986</v>
      </c>
      <c r="U231" s="355">
        <f t="shared" si="526"/>
        <v>225</v>
      </c>
      <c r="V231" s="355">
        <f t="shared" si="526"/>
        <v>132211</v>
      </c>
      <c r="W231" s="355">
        <f t="shared" ref="W231:X231" si="527">W224+W225+W226+W227+W228+W223+W222</f>
        <v>265</v>
      </c>
      <c r="X231" s="355">
        <f t="shared" si="527"/>
        <v>132476</v>
      </c>
      <c r="Y231" s="355">
        <f t="shared" ref="Y231:AB231" si="528">Y224+Y225+Y226+Y227+Y228+Y223+Y222</f>
        <v>446</v>
      </c>
      <c r="Z231" s="355">
        <f t="shared" si="528"/>
        <v>132922</v>
      </c>
      <c r="AA231" s="355">
        <f t="shared" si="528"/>
        <v>421</v>
      </c>
      <c r="AB231" s="355">
        <f t="shared" si="528"/>
        <v>133343</v>
      </c>
      <c r="AC231" s="355">
        <f t="shared" ref="AC231:AD231" si="529">AC224+AC225+AC226+AC227+AC228+AC223+AC222</f>
        <v>221</v>
      </c>
      <c r="AD231" s="355">
        <f t="shared" si="529"/>
        <v>133564</v>
      </c>
      <c r="AE231" s="355">
        <f t="shared" ref="AE231" si="530">AE224+AE225+AE226+AE227+AE228+AE223+AE222</f>
        <v>-772</v>
      </c>
      <c r="AF231" s="355">
        <f t="shared" ref="AF231:AH231" si="531">AF224+AF225+AF226+AF227+AF228+AF223+AF222</f>
        <v>132792</v>
      </c>
      <c r="AG231" s="355">
        <f t="shared" si="531"/>
        <v>207</v>
      </c>
      <c r="AH231" s="355">
        <f t="shared" si="531"/>
        <v>132999</v>
      </c>
      <c r="AI231" s="355">
        <f t="shared" ref="AI231" si="532">AI224+AI225+AI226+AI227+AI228+AI223+AI222</f>
        <v>38768</v>
      </c>
      <c r="AJ231" s="355">
        <f t="shared" ref="AJ231:AK231" si="533">AJ224+AJ225+AJ226+AJ227+AJ228+AJ223+AJ222</f>
        <v>656</v>
      </c>
      <c r="AK231" s="355">
        <f t="shared" si="533"/>
        <v>39424</v>
      </c>
      <c r="AL231" s="32" t="s">
        <v>97</v>
      </c>
      <c r="AM231" s="425">
        <f>SUM(AM223:AM230)</f>
        <v>80160</v>
      </c>
      <c r="AN231" s="425">
        <f t="shared" ref="AN231:BA231" si="534">SUM(AN223:AN230)</f>
        <v>637</v>
      </c>
      <c r="AO231" s="425">
        <f t="shared" si="534"/>
        <v>80797</v>
      </c>
      <c r="AP231" s="425">
        <f t="shared" si="534"/>
        <v>51189</v>
      </c>
      <c r="AQ231" s="425">
        <f t="shared" si="534"/>
        <v>131986</v>
      </c>
      <c r="AR231" s="425">
        <f t="shared" si="534"/>
        <v>225</v>
      </c>
      <c r="AS231" s="425">
        <f t="shared" si="534"/>
        <v>132211</v>
      </c>
      <c r="AT231" s="425">
        <f t="shared" si="534"/>
        <v>265</v>
      </c>
      <c r="AU231" s="425">
        <f t="shared" si="534"/>
        <v>132476</v>
      </c>
      <c r="AV231" s="425">
        <f t="shared" si="534"/>
        <v>446</v>
      </c>
      <c r="AW231" s="425">
        <f t="shared" si="534"/>
        <v>132922</v>
      </c>
      <c r="AX231" s="425">
        <f t="shared" si="534"/>
        <v>421</v>
      </c>
      <c r="AY231" s="425">
        <f t="shared" si="534"/>
        <v>133343</v>
      </c>
      <c r="AZ231" s="425">
        <f t="shared" si="534"/>
        <v>221</v>
      </c>
      <c r="BA231" s="425">
        <f t="shared" si="534"/>
        <v>133564</v>
      </c>
      <c r="BB231" s="425">
        <f t="shared" ref="BB231:BC231" si="535">SUM(BB223:BB230)</f>
        <v>-772</v>
      </c>
      <c r="BC231" s="425">
        <f t="shared" si="535"/>
        <v>132792</v>
      </c>
      <c r="BD231" s="425">
        <f t="shared" ref="BD231:BE231" si="536">SUM(BD223:BD230)</f>
        <v>207</v>
      </c>
      <c r="BE231" s="425">
        <f t="shared" si="536"/>
        <v>132999</v>
      </c>
      <c r="BF231" s="425">
        <f t="shared" ref="BF231:BG231" si="537">SUM(BF223:BF230)</f>
        <v>38768</v>
      </c>
      <c r="BG231" s="425">
        <f t="shared" si="537"/>
        <v>656</v>
      </c>
      <c r="BH231" s="425">
        <f t="shared" ref="BH231" si="538">SUM(BH223:BH230)</f>
        <v>39424</v>
      </c>
    </row>
    <row r="232" spans="1:60" ht="15.75">
      <c r="A232" s="34" t="s">
        <v>88</v>
      </c>
      <c r="B232" s="35">
        <f t="shared" ref="B232:K232" si="539">B224+B228</f>
        <v>668</v>
      </c>
      <c r="C232" s="35">
        <f t="shared" si="539"/>
        <v>668</v>
      </c>
      <c r="D232" s="35">
        <f t="shared" si="539"/>
        <v>2349</v>
      </c>
      <c r="E232" s="35">
        <f t="shared" si="539"/>
        <v>3017</v>
      </c>
      <c r="F232" s="35">
        <f t="shared" si="539"/>
        <v>440</v>
      </c>
      <c r="G232" s="35">
        <f t="shared" si="539"/>
        <v>3457</v>
      </c>
      <c r="H232" s="35">
        <f t="shared" si="539"/>
        <v>22519</v>
      </c>
      <c r="I232" s="35">
        <f t="shared" si="539"/>
        <v>25976</v>
      </c>
      <c r="J232" s="35">
        <f t="shared" si="539"/>
        <v>430</v>
      </c>
      <c r="K232" s="35">
        <f t="shared" si="539"/>
        <v>26406</v>
      </c>
      <c r="L232" s="35">
        <f t="shared" ref="L232:V232" si="540">L224+L228+L222</f>
        <v>4909</v>
      </c>
      <c r="M232" s="35">
        <f t="shared" si="540"/>
        <v>31315</v>
      </c>
      <c r="N232" s="35">
        <f t="shared" si="540"/>
        <v>303</v>
      </c>
      <c r="O232" s="35">
        <f t="shared" si="540"/>
        <v>65895</v>
      </c>
      <c r="P232" s="35">
        <f t="shared" si="540"/>
        <v>37838</v>
      </c>
      <c r="Q232" s="35">
        <f t="shared" si="540"/>
        <v>637</v>
      </c>
      <c r="R232" s="35">
        <f t="shared" si="540"/>
        <v>38475</v>
      </c>
      <c r="S232" s="35">
        <f t="shared" si="540"/>
        <v>51189</v>
      </c>
      <c r="T232" s="35">
        <f t="shared" si="540"/>
        <v>89664</v>
      </c>
      <c r="U232" s="35">
        <f t="shared" si="540"/>
        <v>225</v>
      </c>
      <c r="V232" s="35">
        <f t="shared" si="540"/>
        <v>89889</v>
      </c>
      <c r="W232" s="35">
        <f t="shared" ref="W232:X232" si="541">W224+W228+W222</f>
        <v>265</v>
      </c>
      <c r="X232" s="35">
        <f t="shared" si="541"/>
        <v>90154</v>
      </c>
      <c r="Y232" s="35">
        <f t="shared" ref="Y232:Z232" si="542">Y224+Y228+Y222</f>
        <v>446</v>
      </c>
      <c r="Z232" s="35">
        <f t="shared" si="542"/>
        <v>90600</v>
      </c>
      <c r="AA232" s="35">
        <f t="shared" ref="AA232:AB232" si="543">AA224+AA228+AA222</f>
        <v>421</v>
      </c>
      <c r="AB232" s="35">
        <f t="shared" si="543"/>
        <v>91021</v>
      </c>
      <c r="AC232" s="35">
        <f t="shared" ref="AC232:AD232" si="544">AC224+AC228+AC222</f>
        <v>221</v>
      </c>
      <c r="AD232" s="35">
        <f t="shared" si="544"/>
        <v>91242</v>
      </c>
      <c r="AE232" s="35">
        <f t="shared" ref="AE232" si="545">AE224+AE228+AE222</f>
        <v>3281</v>
      </c>
      <c r="AF232" s="35">
        <f t="shared" ref="AF232:AH232" si="546">AF224+AF228+AF222</f>
        <v>94523</v>
      </c>
      <c r="AG232" s="35">
        <f t="shared" si="546"/>
        <v>207</v>
      </c>
      <c r="AH232" s="35">
        <f t="shared" si="546"/>
        <v>94730</v>
      </c>
      <c r="AI232" s="35">
        <f t="shared" ref="AI232" si="547">AI224+AI228+AI222</f>
        <v>38768</v>
      </c>
      <c r="AJ232" s="35">
        <f t="shared" ref="AJ232:AK232" si="548">AJ224+AJ228+AJ222</f>
        <v>656</v>
      </c>
      <c r="AK232" s="35">
        <f t="shared" si="548"/>
        <v>39424</v>
      </c>
      <c r="AL232" s="34" t="s">
        <v>89</v>
      </c>
      <c r="AM232" s="426">
        <f>AM223+AM224+AM225+AM227</f>
        <v>63286</v>
      </c>
      <c r="AN232" s="426">
        <f t="shared" ref="AN232:BE232" si="549">AN223+AN224+AN225+AN227</f>
        <v>637</v>
      </c>
      <c r="AO232" s="426">
        <f t="shared" si="549"/>
        <v>63923</v>
      </c>
      <c r="AP232" s="426">
        <f t="shared" si="549"/>
        <v>25509</v>
      </c>
      <c r="AQ232" s="426">
        <f t="shared" si="549"/>
        <v>89432</v>
      </c>
      <c r="AR232" s="426">
        <f t="shared" si="549"/>
        <v>225</v>
      </c>
      <c r="AS232" s="426">
        <f t="shared" si="549"/>
        <v>89657</v>
      </c>
      <c r="AT232" s="426">
        <f t="shared" si="549"/>
        <v>265</v>
      </c>
      <c r="AU232" s="426">
        <f t="shared" si="549"/>
        <v>89922</v>
      </c>
      <c r="AV232" s="426">
        <f t="shared" si="549"/>
        <v>446</v>
      </c>
      <c r="AW232" s="426">
        <f t="shared" si="549"/>
        <v>90368</v>
      </c>
      <c r="AX232" s="426">
        <f t="shared" si="549"/>
        <v>421</v>
      </c>
      <c r="AY232" s="426">
        <f t="shared" si="549"/>
        <v>90789</v>
      </c>
      <c r="AZ232" s="426">
        <f t="shared" si="549"/>
        <v>221</v>
      </c>
      <c r="BA232" s="426">
        <f t="shared" si="549"/>
        <v>91010</v>
      </c>
      <c r="BB232" s="426">
        <f t="shared" si="549"/>
        <v>-6942</v>
      </c>
      <c r="BC232" s="426">
        <f t="shared" si="549"/>
        <v>84068</v>
      </c>
      <c r="BD232" s="426">
        <f t="shared" si="549"/>
        <v>207</v>
      </c>
      <c r="BE232" s="426">
        <f t="shared" si="549"/>
        <v>84275</v>
      </c>
      <c r="BF232" s="426">
        <f t="shared" ref="BF232:BG232" si="550">BF223+BF224+BF225+BF227</f>
        <v>38387</v>
      </c>
      <c r="BG232" s="426">
        <f t="shared" si="550"/>
        <v>656</v>
      </c>
      <c r="BH232" s="426">
        <f t="shared" ref="BH232" si="551">BH223+BH224+BH225+BH227</f>
        <v>39043</v>
      </c>
    </row>
    <row r="233" spans="1:60" ht="15.75">
      <c r="A233" s="34" t="s">
        <v>90</v>
      </c>
      <c r="B233" s="35">
        <f t="shared" ref="B233:P233" si="552">B225+B227+B223</f>
        <v>58704</v>
      </c>
      <c r="C233" s="35">
        <f t="shared" si="552"/>
        <v>58704</v>
      </c>
      <c r="D233" s="35">
        <f t="shared" si="552"/>
        <v>0</v>
      </c>
      <c r="E233" s="35">
        <f t="shared" si="552"/>
        <v>58704</v>
      </c>
      <c r="F233" s="35">
        <f t="shared" si="552"/>
        <v>0</v>
      </c>
      <c r="G233" s="35">
        <f t="shared" si="552"/>
        <v>58704</v>
      </c>
      <c r="H233" s="35">
        <f t="shared" si="552"/>
        <v>489</v>
      </c>
      <c r="I233" s="35">
        <f t="shared" si="552"/>
        <v>59193</v>
      </c>
      <c r="J233" s="35">
        <f t="shared" si="552"/>
        <v>0</v>
      </c>
      <c r="K233" s="35">
        <f t="shared" si="552"/>
        <v>59193</v>
      </c>
      <c r="L233" s="35">
        <f t="shared" si="552"/>
        <v>0</v>
      </c>
      <c r="M233" s="35">
        <f t="shared" si="552"/>
        <v>59193</v>
      </c>
      <c r="N233" s="35">
        <f t="shared" si="552"/>
        <v>45879</v>
      </c>
      <c r="O233" s="35">
        <f t="shared" si="552"/>
        <v>105072</v>
      </c>
      <c r="P233" s="35">
        <f t="shared" si="552"/>
        <v>42322</v>
      </c>
      <c r="Q233" s="35">
        <f t="shared" ref="Q233:V233" si="553">Q225+Q227+Q223</f>
        <v>0</v>
      </c>
      <c r="R233" s="35">
        <f t="shared" si="553"/>
        <v>42322</v>
      </c>
      <c r="S233" s="35">
        <f t="shared" si="553"/>
        <v>0</v>
      </c>
      <c r="T233" s="35">
        <f t="shared" si="553"/>
        <v>42322</v>
      </c>
      <c r="U233" s="35">
        <f t="shared" si="553"/>
        <v>0</v>
      </c>
      <c r="V233" s="35">
        <f t="shared" si="553"/>
        <v>42322</v>
      </c>
      <c r="W233" s="35">
        <f t="shared" ref="W233:X233" si="554">W225+W227+W223</f>
        <v>0</v>
      </c>
      <c r="X233" s="35">
        <f t="shared" si="554"/>
        <v>42322</v>
      </c>
      <c r="Y233" s="35">
        <f t="shared" ref="Y233:Z233" si="555">Y225+Y227+Y223</f>
        <v>0</v>
      </c>
      <c r="Z233" s="35">
        <f t="shared" si="555"/>
        <v>42322</v>
      </c>
      <c r="AA233" s="35">
        <f t="shared" ref="AA233:AB233" si="556">AA225+AA227+AA223</f>
        <v>0</v>
      </c>
      <c r="AB233" s="35">
        <f t="shared" si="556"/>
        <v>42322</v>
      </c>
      <c r="AC233" s="35">
        <f t="shared" ref="AC233:AD233" si="557">AC225+AC227+AC223</f>
        <v>0</v>
      </c>
      <c r="AD233" s="35">
        <f t="shared" si="557"/>
        <v>42322</v>
      </c>
      <c r="AE233" s="35">
        <f t="shared" ref="AE233" si="558">AE225+AE227+AE223</f>
        <v>-4053</v>
      </c>
      <c r="AF233" s="35">
        <f t="shared" ref="AF233:AH233" si="559">AF225+AF227+AF223</f>
        <v>38269</v>
      </c>
      <c r="AG233" s="35">
        <f t="shared" si="559"/>
        <v>0</v>
      </c>
      <c r="AH233" s="35">
        <f t="shared" si="559"/>
        <v>38269</v>
      </c>
      <c r="AI233" s="35">
        <f t="shared" ref="AI233" si="560">AI225+AI227+AI223</f>
        <v>0</v>
      </c>
      <c r="AJ233" s="35">
        <f t="shared" ref="AJ233:AK233" si="561">AJ225+AJ227+AJ223</f>
        <v>0</v>
      </c>
      <c r="AK233" s="35">
        <f t="shared" si="561"/>
        <v>0</v>
      </c>
      <c r="AL233" s="34" t="s">
        <v>91</v>
      </c>
      <c r="AM233" s="426">
        <f>AM228+AM229+AM230</f>
        <v>16874</v>
      </c>
      <c r="AN233" s="426">
        <f t="shared" ref="AN233:BE233" si="562">AN228+AN229+AN230</f>
        <v>0</v>
      </c>
      <c r="AO233" s="426">
        <f t="shared" si="562"/>
        <v>16874</v>
      </c>
      <c r="AP233" s="426">
        <f t="shared" si="562"/>
        <v>25680</v>
      </c>
      <c r="AQ233" s="426">
        <f t="shared" si="562"/>
        <v>42554</v>
      </c>
      <c r="AR233" s="426">
        <f t="shared" si="562"/>
        <v>0</v>
      </c>
      <c r="AS233" s="426">
        <f t="shared" si="562"/>
        <v>42554</v>
      </c>
      <c r="AT233" s="426">
        <f t="shared" si="562"/>
        <v>0</v>
      </c>
      <c r="AU233" s="426">
        <f t="shared" si="562"/>
        <v>42554</v>
      </c>
      <c r="AV233" s="426">
        <f t="shared" si="562"/>
        <v>0</v>
      </c>
      <c r="AW233" s="426">
        <f t="shared" si="562"/>
        <v>42554</v>
      </c>
      <c r="AX233" s="426">
        <f t="shared" si="562"/>
        <v>0</v>
      </c>
      <c r="AY233" s="426">
        <f t="shared" si="562"/>
        <v>42554</v>
      </c>
      <c r="AZ233" s="426">
        <f t="shared" si="562"/>
        <v>0</v>
      </c>
      <c r="BA233" s="426">
        <f t="shared" si="562"/>
        <v>42554</v>
      </c>
      <c r="BB233" s="426">
        <f t="shared" si="562"/>
        <v>6170</v>
      </c>
      <c r="BC233" s="426">
        <f t="shared" si="562"/>
        <v>48724</v>
      </c>
      <c r="BD233" s="426">
        <f t="shared" si="562"/>
        <v>0</v>
      </c>
      <c r="BE233" s="426">
        <f t="shared" si="562"/>
        <v>48724</v>
      </c>
      <c r="BF233" s="426">
        <f t="shared" ref="BF233:BG233" si="563">BF228+BF229+BF230</f>
        <v>381</v>
      </c>
      <c r="BG233" s="426">
        <f t="shared" si="563"/>
        <v>0</v>
      </c>
      <c r="BH233" s="426">
        <f t="shared" ref="BH233" si="564">BH228+BH229+BH230</f>
        <v>381</v>
      </c>
    </row>
    <row r="234" spans="1:60" s="33" customFormat="1" ht="15.75">
      <c r="A234" s="32" t="s">
        <v>105</v>
      </c>
      <c r="B234" s="356" t="e">
        <f>B128+B141+B154+B166+B179+B204+B217+B231+#REF!+B192</f>
        <v>#REF!</v>
      </c>
      <c r="C234" s="356" t="e">
        <f>C128+C141+C154+C166+C179+C204+C217+C231+#REF!+C192</f>
        <v>#REF!</v>
      </c>
      <c r="D234" s="356" t="e">
        <f>D128+D141+D154+D166+D179+D204+D217+D231+#REF!+D192</f>
        <v>#REF!</v>
      </c>
      <c r="E234" s="356" t="e">
        <f>E128+E141+E154+E166+E179+E204+E217+E231+#REF!+E192</f>
        <v>#REF!</v>
      </c>
      <c r="F234" s="356" t="e">
        <f>F128+F141+F154+F166+F179+F204+F217+F231+#REF!+F192</f>
        <v>#REF!</v>
      </c>
      <c r="G234" s="356" t="e">
        <f>G128+G141+G154+G166+G179+G204+G217+G231+#REF!+G192</f>
        <v>#REF!</v>
      </c>
      <c r="H234" s="356" t="e">
        <f>H128+H141+H154+H166+H179+H204+H217+H231+#REF!+H192</f>
        <v>#REF!</v>
      </c>
      <c r="I234" s="356" t="e">
        <f>I128+I141+I154+I166+I179+I204+I217+I231+#REF!+I192</f>
        <v>#REF!</v>
      </c>
      <c r="J234" s="356" t="e">
        <f>J128+J141+J154+J166+J179+J204+J217+J231+#REF!+J192</f>
        <v>#REF!</v>
      </c>
      <c r="K234" s="356" t="e">
        <f>K128+K141+K154+K166+K179+K204+K217+K231+#REF!+K192</f>
        <v>#REF!</v>
      </c>
      <c r="L234" s="356" t="e">
        <f>L128+L141+L154+L166+L179+L204+L217+L231+#REF!+L192</f>
        <v>#REF!</v>
      </c>
      <c r="M234" s="356" t="e">
        <f>M128+M141+M154+M166+M179+M204+M217+M231+#REF!+M192</f>
        <v>#REF!</v>
      </c>
      <c r="N234" s="356" t="e">
        <f>N128+N141+N154+N166+N179+N204+N217+N231+#REF!+N192</f>
        <v>#REF!</v>
      </c>
      <c r="O234" s="356" t="e">
        <f>O128+O141+O154+O166+O179+O204+O217+O231+#REF!+O192</f>
        <v>#REF!</v>
      </c>
      <c r="P234" s="356">
        <f>P128+P141+P154+P166+P179+P204+P217+P231+P192</f>
        <v>12241520.99</v>
      </c>
      <c r="Q234" s="356">
        <f>Q128+Q141+Q154+Q166+Q179+Q204+Q217+Q231+Q192</f>
        <v>52822</v>
      </c>
      <c r="R234" s="356">
        <f>R128+R141+R154+R166+R179+R204+R217+R231+R192</f>
        <v>12294342.99</v>
      </c>
      <c r="S234" s="356">
        <f t="shared" ref="S234:V234" si="565">S128+S141+S154+S166+S179+S204+S217+S231+S192</f>
        <v>342898</v>
      </c>
      <c r="T234" s="356">
        <f t="shared" si="565"/>
        <v>12637240.99</v>
      </c>
      <c r="U234" s="356">
        <f t="shared" si="565"/>
        <v>56839</v>
      </c>
      <c r="V234" s="356">
        <f t="shared" si="565"/>
        <v>12694079.99</v>
      </c>
      <c r="W234" s="356">
        <f t="shared" ref="W234:X234" si="566">W128+W141+W154+W166+W179+W204+W217+W231+W192</f>
        <v>378995</v>
      </c>
      <c r="X234" s="356">
        <f t="shared" si="566"/>
        <v>13073074.99</v>
      </c>
      <c r="Y234" s="356">
        <f t="shared" ref="Y234:Z234" si="567">Y128+Y141+Y154+Y166+Y179+Y204+Y217+Y231+Y192</f>
        <v>203198</v>
      </c>
      <c r="Z234" s="356">
        <f t="shared" si="567"/>
        <v>13276272.99</v>
      </c>
      <c r="AA234" s="356">
        <f t="shared" ref="AA234:AB234" si="568">AA128+AA141+AA154+AA166+AA179+AA204+AA217+AA231+AA192</f>
        <v>16943</v>
      </c>
      <c r="AB234" s="356">
        <f t="shared" si="568"/>
        <v>13293215.99</v>
      </c>
      <c r="AC234" s="356">
        <f t="shared" ref="AC234:AD234" si="569">AC128+AC141+AC154+AC166+AC179+AC204+AC217+AC231+AC192</f>
        <v>399628</v>
      </c>
      <c r="AD234" s="356">
        <f t="shared" si="569"/>
        <v>13692843.99</v>
      </c>
      <c r="AE234" s="356">
        <f t="shared" ref="AE234" si="570">AE128+AE141+AE154+AE166+AE179+AE204+AE217+AE231+AE192</f>
        <v>35452</v>
      </c>
      <c r="AF234" s="356">
        <f t="shared" ref="AF234:AH234" si="571">AF128+AF141+AF154+AF166+AF179+AF204+AF217+AF231+AF192</f>
        <v>13728295.99</v>
      </c>
      <c r="AG234" s="356">
        <f t="shared" si="571"/>
        <v>-9300</v>
      </c>
      <c r="AH234" s="356">
        <f t="shared" si="571"/>
        <v>13718995.99</v>
      </c>
      <c r="AI234" s="356">
        <f t="shared" ref="AI234" si="572">AI128+AI141+AI154+AI166+AI179+AI204+AI217+AI231+AI192</f>
        <v>10867616</v>
      </c>
      <c r="AJ234" s="356">
        <f t="shared" ref="AJ234:AK234" si="573">AJ128+AJ141+AJ154+AJ166+AJ179+AJ204+AJ217+AJ231+AJ192</f>
        <v>106246</v>
      </c>
      <c r="AK234" s="356">
        <f t="shared" si="573"/>
        <v>10973862</v>
      </c>
      <c r="AL234" s="32" t="s">
        <v>105</v>
      </c>
      <c r="AM234" s="425">
        <f>AM128+AM141+AM154+AM166+AM179+AM204+AM217+AM231+AM192</f>
        <v>12241521</v>
      </c>
      <c r="AN234" s="425" t="e">
        <f>AN128+AN141+AN154+AN166+AN179+AN204+AN217+AN231+AN192</f>
        <v>#REF!</v>
      </c>
      <c r="AO234" s="425" t="e">
        <f>AO128+AO141+AO154+AO166+AO179+AO204+AO217+AO231+AO192</f>
        <v>#REF!</v>
      </c>
      <c r="AP234" s="425" t="e">
        <f t="shared" ref="AP234:AS234" si="574">AP128+AP141+AP154+AP166+AP179+AP204+AP217+AP231+AP192</f>
        <v>#REF!</v>
      </c>
      <c r="AQ234" s="425" t="e">
        <f t="shared" si="574"/>
        <v>#REF!</v>
      </c>
      <c r="AR234" s="425" t="e">
        <f t="shared" si="574"/>
        <v>#REF!</v>
      </c>
      <c r="AS234" s="425" t="e">
        <f t="shared" si="574"/>
        <v>#REF!</v>
      </c>
      <c r="AT234" s="425" t="e">
        <f t="shared" ref="AT234:AU234" si="575">AT128+AT141+AT154+AT166+AT179+AT204+AT217+AT231+AT192</f>
        <v>#REF!</v>
      </c>
      <c r="AU234" s="425" t="e">
        <f t="shared" si="575"/>
        <v>#REF!</v>
      </c>
      <c r="AV234" s="425" t="e">
        <f t="shared" ref="AV234:AW234" si="576">AV128+AV141+AV154+AV166+AV179+AV204+AV217+AV231+AV192</f>
        <v>#REF!</v>
      </c>
      <c r="AW234" s="425" t="e">
        <f t="shared" si="576"/>
        <v>#REF!</v>
      </c>
      <c r="AX234" s="425" t="e">
        <f t="shared" ref="AX234:AY234" si="577">AX128+AX141+AX154+AX166+AX179+AX204+AX217+AX231+AX192</f>
        <v>#REF!</v>
      </c>
      <c r="AY234" s="425" t="e">
        <f t="shared" si="577"/>
        <v>#REF!</v>
      </c>
      <c r="AZ234" s="425" t="e">
        <f t="shared" ref="AZ234:BA234" si="578">AZ128+AZ141+AZ154+AZ166+AZ179+AZ204+AZ217+AZ231+AZ192</f>
        <v>#REF!</v>
      </c>
      <c r="BA234" s="425" t="e">
        <f t="shared" si="578"/>
        <v>#REF!</v>
      </c>
      <c r="BB234" s="425" t="e">
        <f t="shared" ref="BB234:BC234" si="579">BB128+BB141+BB154+BB166+BB179+BB204+BB217+BB231+BB192</f>
        <v>#REF!</v>
      </c>
      <c r="BC234" s="425" t="e">
        <f t="shared" si="579"/>
        <v>#REF!</v>
      </c>
      <c r="BD234" s="425" t="e">
        <f t="shared" ref="BD234:BE234" si="580">BD128+BD141+BD154+BD166+BD179+BD204+BD217+BD231+BD192</f>
        <v>#REF!</v>
      </c>
      <c r="BE234" s="425" t="e">
        <f t="shared" si="580"/>
        <v>#REF!</v>
      </c>
      <c r="BF234" s="425">
        <f t="shared" ref="BF234:BG234" si="581">BF128+BF141+BF154+BF166+BF179+BF204+BF217+BF231+BF192</f>
        <v>10867616</v>
      </c>
      <c r="BG234" s="425">
        <f t="shared" si="581"/>
        <v>106246</v>
      </c>
      <c r="BH234" s="425">
        <f t="shared" ref="BH234" si="582">BH128+BH141+BH154+BH166+BH179+BH204+BH217+BH231+BH192</f>
        <v>10973862</v>
      </c>
    </row>
    <row r="235" spans="1:60" s="33" customFormat="1" ht="15.75">
      <c r="A235" s="32" t="s">
        <v>106</v>
      </c>
      <c r="B235" s="356" t="e">
        <f>-(B139+B152+B165+B177+B203+B215+B230+#REF!+B190)</f>
        <v>#REF!</v>
      </c>
      <c r="C235" s="356" t="e">
        <f>-(C139+C152+C165+C177+C203+C215+C230+#REF!+C190)</f>
        <v>#REF!</v>
      </c>
      <c r="D235" s="356" t="e">
        <f>-(D139+D152+D165+D177+D203+D215+D230+#REF!+D190)</f>
        <v>#REF!</v>
      </c>
      <c r="E235" s="356" t="e">
        <f>-(E139+E152+E165+E177+E203+E215+E230+#REF!+E190)</f>
        <v>#REF!</v>
      </c>
      <c r="F235" s="356" t="e">
        <f>-(F139+F152+F165+F177+F203+F215+F230+#REF!+F190)</f>
        <v>#REF!</v>
      </c>
      <c r="G235" s="356" t="e">
        <f>-(G139+G152+G165+G177+G203+G215+G230+#REF!+G190)</f>
        <v>#REF!</v>
      </c>
      <c r="H235" s="356" t="e">
        <f>-(H139+H152+H165+H177+H203+H215+H230+#REF!+H190)</f>
        <v>#REF!</v>
      </c>
      <c r="I235" s="356" t="e">
        <f>-(I139+I152+I165+I177+I203+I215+I230+#REF!+I190)</f>
        <v>#REF!</v>
      </c>
      <c r="J235" s="356" t="e">
        <f>-(J139+J152+J165+J177+J203+J215+J230+#REF!+J190)</f>
        <v>#REF!</v>
      </c>
      <c r="K235" s="356" t="e">
        <f>-(K139+K152+K165+K177+K203+K215+K230+#REF!+K190)</f>
        <v>#REF!</v>
      </c>
      <c r="L235" s="356" t="e">
        <f>-(L139+L152+L165+L177+L203+L215+L230+#REF!+L190)</f>
        <v>#REF!</v>
      </c>
      <c r="M235" s="356" t="e">
        <f>-(M139+M152+M165+M177+M203+M215+M230+#REF!+M190)</f>
        <v>#REF!</v>
      </c>
      <c r="N235" s="356" t="e">
        <f>-(N139+N152+N165+N177+N203+N215+N230+#REF!+N190)</f>
        <v>#REF!</v>
      </c>
      <c r="O235" s="356" t="e">
        <f>-(O139+O152+O165+O177+O203+O215+O230+#REF!+O190)</f>
        <v>#REF!</v>
      </c>
      <c r="P235" s="356">
        <f>-(P139+P152+P165+P177+P203+P215+P230+P190)</f>
        <v>-2246490</v>
      </c>
      <c r="Q235" s="356">
        <f>-(Q139+Q152+Q165+Q177+Q203+Q215+Q230+Q190)</f>
        <v>-24819</v>
      </c>
      <c r="R235" s="356">
        <f>-(R139+R152+R165+R177+R203+R215+R230+R190)</f>
        <v>-2271309</v>
      </c>
      <c r="S235" s="356">
        <f t="shared" ref="S235:V235" si="583">-(S139+S152+S165+S177+S203+S215+S230+S190)</f>
        <v>-13243</v>
      </c>
      <c r="T235" s="356">
        <f t="shared" si="583"/>
        <v>-2284552</v>
      </c>
      <c r="U235" s="356">
        <f t="shared" si="583"/>
        <v>-32026</v>
      </c>
      <c r="V235" s="356">
        <f t="shared" si="583"/>
        <v>-2316578</v>
      </c>
      <c r="W235" s="356">
        <f t="shared" ref="W235:X235" si="584">-(W139+W152+W165+W177+W203+W215+W230+W190)</f>
        <v>-8373</v>
      </c>
      <c r="X235" s="356">
        <f t="shared" si="584"/>
        <v>-2324951</v>
      </c>
      <c r="Y235" s="356">
        <f t="shared" ref="Y235:Z235" si="585">-(Y139+Y152+Y165+Y177+Y203+Y215+Y230+Y190)</f>
        <v>-16272</v>
      </c>
      <c r="Z235" s="356">
        <f t="shared" si="585"/>
        <v>-2341223</v>
      </c>
      <c r="AA235" s="356">
        <f t="shared" ref="AA235:AB235" si="586">-(AA139+AA152+AA165+AA177+AA203+AA215+AA230+AA190)</f>
        <v>16174</v>
      </c>
      <c r="AB235" s="356">
        <f t="shared" si="586"/>
        <v>-2325049</v>
      </c>
      <c r="AC235" s="356">
        <f t="shared" ref="AC235:AD235" si="587">-(AC139+AC152+AC165+AC177+AC203+AC215+AC230+AC190)</f>
        <v>-7910</v>
      </c>
      <c r="AD235" s="356">
        <f t="shared" si="587"/>
        <v>-2332959</v>
      </c>
      <c r="AE235" s="356">
        <f t="shared" ref="AE235" si="588">-(AE139+AE152+AE165+AE177+AE203+AE215+AE230+AE190)</f>
        <v>-12884</v>
      </c>
      <c r="AF235" s="356">
        <f t="shared" ref="AF235:AH235" si="589">-(AF139+AF152+AF165+AF177+AF203+AF215+AF230+AF190)</f>
        <v>-2345843</v>
      </c>
      <c r="AG235" s="356">
        <f t="shared" si="589"/>
        <v>-7490</v>
      </c>
      <c r="AH235" s="356">
        <f t="shared" si="589"/>
        <v>-2353333</v>
      </c>
      <c r="AI235" s="356">
        <f t="shared" ref="AI235" si="590">-(AI139+AI152+AI165+AI177+AI203+AI215+AI230+AI190)</f>
        <v>-2364576</v>
      </c>
      <c r="AJ235" s="356">
        <f t="shared" ref="AJ235:AK235" si="591">-(AJ139+AJ152+AJ165+AJ177+AJ203+AJ215+AJ230+AJ190)</f>
        <v>-28758</v>
      </c>
      <c r="AK235" s="356">
        <f t="shared" si="591"/>
        <v>-2393334</v>
      </c>
      <c r="AL235" s="40" t="s">
        <v>107</v>
      </c>
      <c r="AM235" s="41">
        <f t="shared" ref="AM235:BH235" si="592">-P248</f>
        <v>-2246490</v>
      </c>
      <c r="AN235" s="41">
        <f t="shared" si="592"/>
        <v>-24819</v>
      </c>
      <c r="AO235" s="41">
        <f t="shared" si="592"/>
        <v>-2271309</v>
      </c>
      <c r="AP235" s="41">
        <f t="shared" si="592"/>
        <v>-13243</v>
      </c>
      <c r="AQ235" s="41">
        <f t="shared" si="592"/>
        <v>-2284552</v>
      </c>
      <c r="AR235" s="41">
        <f t="shared" si="592"/>
        <v>-32026</v>
      </c>
      <c r="AS235" s="41">
        <f t="shared" si="592"/>
        <v>-2316578</v>
      </c>
      <c r="AT235" s="41">
        <f t="shared" si="592"/>
        <v>-8373</v>
      </c>
      <c r="AU235" s="41">
        <f t="shared" si="592"/>
        <v>-2324951</v>
      </c>
      <c r="AV235" s="41">
        <f t="shared" si="592"/>
        <v>-16272</v>
      </c>
      <c r="AW235" s="41">
        <f t="shared" si="592"/>
        <v>-2341223</v>
      </c>
      <c r="AX235" s="41">
        <f t="shared" si="592"/>
        <v>16174</v>
      </c>
      <c r="AY235" s="41">
        <f t="shared" si="592"/>
        <v>-2325049</v>
      </c>
      <c r="AZ235" s="41">
        <f t="shared" si="592"/>
        <v>-7910</v>
      </c>
      <c r="BA235" s="41">
        <f t="shared" si="592"/>
        <v>-2332959</v>
      </c>
      <c r="BB235" s="41">
        <f t="shared" si="592"/>
        <v>-12884</v>
      </c>
      <c r="BC235" s="41">
        <f t="shared" si="592"/>
        <v>-2345843</v>
      </c>
      <c r="BD235" s="41">
        <f t="shared" si="592"/>
        <v>-7490</v>
      </c>
      <c r="BE235" s="41">
        <f t="shared" si="592"/>
        <v>-2353333</v>
      </c>
      <c r="BF235" s="41">
        <f t="shared" si="592"/>
        <v>-2364576</v>
      </c>
      <c r="BG235" s="41">
        <f t="shared" si="592"/>
        <v>-28758</v>
      </c>
      <c r="BH235" s="41">
        <f t="shared" si="592"/>
        <v>-2393334</v>
      </c>
    </row>
    <row r="236" spans="1:60" s="33" customFormat="1" ht="15.75">
      <c r="A236" s="32" t="s">
        <v>86</v>
      </c>
      <c r="B236" s="355" t="e">
        <f t="shared" ref="B236:I236" si="593">SUM(B234:B235)</f>
        <v>#REF!</v>
      </c>
      <c r="C236" s="355" t="e">
        <f t="shared" si="593"/>
        <v>#REF!</v>
      </c>
      <c r="D236" s="355" t="e">
        <f t="shared" si="593"/>
        <v>#REF!</v>
      </c>
      <c r="E236" s="355" t="e">
        <f t="shared" si="593"/>
        <v>#REF!</v>
      </c>
      <c r="F236" s="355" t="e">
        <f t="shared" si="593"/>
        <v>#REF!</v>
      </c>
      <c r="G236" s="355" t="e">
        <f t="shared" si="593"/>
        <v>#REF!</v>
      </c>
      <c r="H236" s="355" t="e">
        <f t="shared" si="593"/>
        <v>#REF!</v>
      </c>
      <c r="I236" s="355" t="e">
        <f t="shared" si="593"/>
        <v>#REF!</v>
      </c>
      <c r="J236" s="355" t="e">
        <f t="shared" ref="J236:P236" si="594">SUM(J234:J235)</f>
        <v>#REF!</v>
      </c>
      <c r="K236" s="355" t="e">
        <f t="shared" si="594"/>
        <v>#REF!</v>
      </c>
      <c r="L236" s="355" t="e">
        <f t="shared" si="594"/>
        <v>#REF!</v>
      </c>
      <c r="M236" s="355" t="e">
        <f t="shared" si="594"/>
        <v>#REF!</v>
      </c>
      <c r="N236" s="355" t="e">
        <f t="shared" si="594"/>
        <v>#REF!</v>
      </c>
      <c r="O236" s="355" t="e">
        <f t="shared" si="594"/>
        <v>#REF!</v>
      </c>
      <c r="P236" s="355">
        <f t="shared" si="594"/>
        <v>9995030.9900000002</v>
      </c>
      <c r="Q236" s="355">
        <f t="shared" ref="Q236:V236" si="595">SUM(Q234:Q235)</f>
        <v>28003</v>
      </c>
      <c r="R236" s="355">
        <f t="shared" si="595"/>
        <v>10023033.99</v>
      </c>
      <c r="S236" s="355">
        <f t="shared" si="595"/>
        <v>329655</v>
      </c>
      <c r="T236" s="355">
        <f t="shared" si="595"/>
        <v>10352688.99</v>
      </c>
      <c r="U236" s="355">
        <f t="shared" si="595"/>
        <v>24813</v>
      </c>
      <c r="V236" s="355">
        <f t="shared" si="595"/>
        <v>10377501.99</v>
      </c>
      <c r="W236" s="355">
        <f t="shared" ref="W236:X236" si="596">SUM(W234:W235)</f>
        <v>370622</v>
      </c>
      <c r="X236" s="355">
        <f t="shared" si="596"/>
        <v>10748123.99</v>
      </c>
      <c r="Y236" s="355">
        <f t="shared" ref="Y236:Z236" si="597">SUM(Y234:Y235)</f>
        <v>186926</v>
      </c>
      <c r="Z236" s="355">
        <f t="shared" si="597"/>
        <v>10935049.99</v>
      </c>
      <c r="AA236" s="355">
        <f t="shared" ref="AA236:AB236" si="598">SUM(AA234:AA235)</f>
        <v>33117</v>
      </c>
      <c r="AB236" s="355">
        <f t="shared" si="598"/>
        <v>10968166.99</v>
      </c>
      <c r="AC236" s="355">
        <f t="shared" ref="AC236:AD236" si="599">SUM(AC234:AC235)</f>
        <v>391718</v>
      </c>
      <c r="AD236" s="355">
        <f t="shared" si="599"/>
        <v>11359884.99</v>
      </c>
      <c r="AE236" s="355">
        <f t="shared" ref="AE236" si="600">SUM(AE234:AE235)</f>
        <v>22568</v>
      </c>
      <c r="AF236" s="355">
        <f t="shared" ref="AF236:AH236" si="601">SUM(AF234:AF235)</f>
        <v>11382452.99</v>
      </c>
      <c r="AG236" s="355">
        <f t="shared" si="601"/>
        <v>-16790</v>
      </c>
      <c r="AH236" s="355">
        <f t="shared" si="601"/>
        <v>11365662.99</v>
      </c>
      <c r="AI236" s="355">
        <f t="shared" ref="AI236" si="602">SUM(AI234:AI235)</f>
        <v>8503040</v>
      </c>
      <c r="AJ236" s="355">
        <f t="shared" ref="AJ236:AK236" si="603">SUM(AJ234:AJ235)</f>
        <v>77488</v>
      </c>
      <c r="AK236" s="355">
        <f t="shared" si="603"/>
        <v>8580528</v>
      </c>
      <c r="AL236" s="32" t="s">
        <v>87</v>
      </c>
      <c r="AM236" s="41">
        <f>SUM(AM234:AM235)</f>
        <v>9995031</v>
      </c>
      <c r="AN236" s="41" t="e">
        <f>SUM(AN234:AN235)</f>
        <v>#REF!</v>
      </c>
      <c r="AO236" s="41" t="e">
        <f>SUM(AO234:AO235)</f>
        <v>#REF!</v>
      </c>
      <c r="AP236" s="41" t="e">
        <f t="shared" ref="AP236:AS236" si="604">SUM(AP234:AP235)</f>
        <v>#REF!</v>
      </c>
      <c r="AQ236" s="41" t="e">
        <f t="shared" si="604"/>
        <v>#REF!</v>
      </c>
      <c r="AR236" s="41" t="e">
        <f t="shared" si="604"/>
        <v>#REF!</v>
      </c>
      <c r="AS236" s="41" t="e">
        <f t="shared" si="604"/>
        <v>#REF!</v>
      </c>
      <c r="AT236" s="41" t="e">
        <f t="shared" ref="AT236:AU236" si="605">SUM(AT234:AT235)</f>
        <v>#REF!</v>
      </c>
      <c r="AU236" s="41" t="e">
        <f t="shared" si="605"/>
        <v>#REF!</v>
      </c>
      <c r="AV236" s="41" t="e">
        <f t="shared" ref="AV236:AW236" si="606">SUM(AV234:AV235)</f>
        <v>#REF!</v>
      </c>
      <c r="AW236" s="41" t="e">
        <f t="shared" si="606"/>
        <v>#REF!</v>
      </c>
      <c r="AX236" s="41" t="e">
        <f t="shared" ref="AX236:AY236" si="607">SUM(AX234:AX235)</f>
        <v>#REF!</v>
      </c>
      <c r="AY236" s="41" t="e">
        <f t="shared" si="607"/>
        <v>#REF!</v>
      </c>
      <c r="AZ236" s="41" t="e">
        <f t="shared" ref="AZ236:BA236" si="608">SUM(AZ234:AZ235)</f>
        <v>#REF!</v>
      </c>
      <c r="BA236" s="41" t="e">
        <f t="shared" si="608"/>
        <v>#REF!</v>
      </c>
      <c r="BB236" s="41" t="e">
        <f t="shared" ref="BB236:BC236" si="609">SUM(BB234:BB235)</f>
        <v>#REF!</v>
      </c>
      <c r="BC236" s="41" t="e">
        <f t="shared" si="609"/>
        <v>#REF!</v>
      </c>
      <c r="BD236" s="41" t="e">
        <f t="shared" ref="BD236:BE236" si="610">SUM(BD234:BD235)</f>
        <v>#REF!</v>
      </c>
      <c r="BE236" s="41" t="e">
        <f t="shared" si="610"/>
        <v>#REF!</v>
      </c>
      <c r="BF236" s="41">
        <f t="shared" ref="BF236:BG236" si="611">SUM(BF234:BF235)</f>
        <v>8503040</v>
      </c>
      <c r="BG236" s="41">
        <f t="shared" si="611"/>
        <v>77488</v>
      </c>
      <c r="BH236" s="41">
        <f t="shared" ref="BH236" si="612">SUM(BH234:BH235)</f>
        <v>8580528</v>
      </c>
    </row>
    <row r="237" spans="1:60" ht="18.75">
      <c r="A237" s="708" t="s">
        <v>439</v>
      </c>
      <c r="B237" s="708"/>
      <c r="C237" s="708"/>
      <c r="D237" s="708"/>
      <c r="E237" s="708"/>
      <c r="F237" s="708"/>
      <c r="G237" s="708"/>
      <c r="H237" s="708"/>
      <c r="I237" s="708"/>
      <c r="J237" s="708"/>
      <c r="K237" s="708"/>
      <c r="L237" s="708"/>
      <c r="M237" s="708"/>
      <c r="N237" s="708"/>
      <c r="O237" s="708"/>
      <c r="P237" s="708"/>
      <c r="Q237" s="708"/>
      <c r="R237" s="708"/>
      <c r="S237" s="708"/>
      <c r="T237" s="708"/>
      <c r="U237" s="708"/>
      <c r="V237" s="708"/>
      <c r="W237" s="708"/>
      <c r="X237" s="708"/>
      <c r="Y237" s="708"/>
      <c r="Z237" s="708"/>
      <c r="AA237" s="708"/>
      <c r="AB237" s="708"/>
      <c r="AC237" s="708"/>
      <c r="AD237" s="708"/>
      <c r="AE237" s="708"/>
      <c r="AF237" s="708"/>
      <c r="AG237" s="708"/>
      <c r="AH237" s="708"/>
      <c r="AI237" s="708"/>
      <c r="AJ237" s="708"/>
      <c r="AK237" s="708"/>
      <c r="AL237" s="708"/>
      <c r="AM237" s="708"/>
      <c r="AN237" s="708"/>
      <c r="AO237" s="708"/>
      <c r="AP237" s="708"/>
      <c r="AQ237" s="708"/>
      <c r="AR237" s="708"/>
      <c r="AS237" s="708"/>
      <c r="AT237" s="708"/>
      <c r="AU237" s="708"/>
      <c r="AV237" s="708"/>
      <c r="AW237" s="708"/>
      <c r="AX237" s="708"/>
      <c r="AY237" s="708"/>
      <c r="AZ237" s="708"/>
      <c r="BA237" s="708"/>
      <c r="BB237" s="708"/>
      <c r="BC237" s="708"/>
      <c r="BD237" s="708"/>
      <c r="BE237" s="708"/>
      <c r="BF237" s="442"/>
      <c r="BG237" s="18"/>
      <c r="BH237" s="18"/>
    </row>
    <row r="238" spans="1:60">
      <c r="A238" s="8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  <c r="AD238" s="27"/>
      <c r="AE238" s="27"/>
      <c r="AF238" s="27"/>
      <c r="AG238" s="27"/>
      <c r="AH238" s="27"/>
      <c r="AI238" s="27"/>
      <c r="AJ238" s="27"/>
      <c r="AK238" s="27"/>
      <c r="AL238" s="8"/>
      <c r="AM238" s="18"/>
      <c r="AN238" s="18"/>
      <c r="AO238" s="18"/>
      <c r="AP238" s="18"/>
      <c r="AQ238" s="18"/>
      <c r="AR238" s="18"/>
      <c r="AS238" s="18"/>
      <c r="AT238" s="18"/>
      <c r="AU238" s="18"/>
      <c r="AV238" s="18"/>
      <c r="AW238" s="18"/>
      <c r="AX238" s="18"/>
      <c r="AY238" s="18"/>
      <c r="AZ238" s="18"/>
      <c r="BA238" s="18"/>
      <c r="BB238" s="18"/>
      <c r="BC238" s="18"/>
      <c r="BD238" s="18"/>
      <c r="BE238" s="18"/>
      <c r="BF238" s="18"/>
      <c r="BG238" s="18"/>
      <c r="BH238" s="18"/>
    </row>
    <row r="239" spans="1:60">
      <c r="A239" s="16" t="s">
        <v>9</v>
      </c>
      <c r="B239" s="379" t="e">
        <f>B8+B196+B158+#REF!+B222+B208+B170+B145+B132+B183</f>
        <v>#REF!</v>
      </c>
      <c r="C239" s="379" t="e">
        <f>C8+C196+C158+#REF!+C222+C208+C170+C145+C132+C183</f>
        <v>#REF!</v>
      </c>
      <c r="D239" s="379" t="e">
        <f>D8+D196+D158+#REF!+D222+D208+D170+D145+D132+D183</f>
        <v>#REF!</v>
      </c>
      <c r="E239" s="379" t="e">
        <f>E8+E196+E158+#REF!+E222+E208+E170+E145+E132+E183</f>
        <v>#REF!</v>
      </c>
      <c r="F239" s="379" t="e">
        <f>F8+F196+F158+#REF!+F222+F208+F170+F145+F132+F183</f>
        <v>#REF!</v>
      </c>
      <c r="G239" s="379" t="e">
        <f>G8+G196+G158+#REF!+G222+G208+G170+G145+G132+G183</f>
        <v>#REF!</v>
      </c>
      <c r="H239" s="379" t="e">
        <f>H8+H196+H158+#REF!+H222+H208+H170+H145+H132+H183</f>
        <v>#REF!</v>
      </c>
      <c r="I239" s="379" t="e">
        <f>I8+I196+I158+#REF!+I222+I208+I170+I145+I132+I183</f>
        <v>#REF!</v>
      </c>
      <c r="J239" s="379" t="e">
        <f>J8+J196+J158+#REF!+J222+J208+J170+J145+J132+J183</f>
        <v>#REF!</v>
      </c>
      <c r="K239" s="379" t="e">
        <f>K8+K196+K158+#REF!+K222+K208+K170+K145+K132+K183</f>
        <v>#REF!</v>
      </c>
      <c r="L239" s="379" t="e">
        <f>L8+L196+L158+#REF!+L222+L208+L170+L145+L132+L183</f>
        <v>#REF!</v>
      </c>
      <c r="M239" s="379" t="e">
        <f>M8+M196+M158+#REF!+M222+M208+M170+M145+M132+M183</f>
        <v>#REF!</v>
      </c>
      <c r="N239" s="379" t="e">
        <f>N8+N196+N158+#REF!+N222+N208+N170+N145+N132+N183</f>
        <v>#REF!</v>
      </c>
      <c r="O239" s="379" t="e">
        <f>O8+O196+O158+#REF!+O222+O208+O170+O145+O132+O183</f>
        <v>#REF!</v>
      </c>
      <c r="P239" s="379">
        <f t="shared" ref="P239:Z239" si="613">P8+P196+P158+P222+P208+P170+P145+P132+P183</f>
        <v>1967876</v>
      </c>
      <c r="Q239" s="379">
        <f t="shared" si="613"/>
        <v>24622</v>
      </c>
      <c r="R239" s="379">
        <f t="shared" si="613"/>
        <v>1992498</v>
      </c>
      <c r="S239" s="379">
        <f t="shared" si="613"/>
        <v>38480</v>
      </c>
      <c r="T239" s="379">
        <f t="shared" si="613"/>
        <v>2030978</v>
      </c>
      <c r="U239" s="379">
        <f t="shared" si="613"/>
        <v>18615</v>
      </c>
      <c r="V239" s="379">
        <f t="shared" si="613"/>
        <v>2049593</v>
      </c>
      <c r="W239" s="379">
        <f t="shared" si="613"/>
        <v>224760</v>
      </c>
      <c r="X239" s="379">
        <f t="shared" si="613"/>
        <v>2274353</v>
      </c>
      <c r="Y239" s="379">
        <f t="shared" si="613"/>
        <v>25408</v>
      </c>
      <c r="Z239" s="379">
        <f t="shared" si="613"/>
        <v>2299761</v>
      </c>
      <c r="AA239" s="379">
        <f t="shared" ref="AA239:AB239" si="614">AA8+AA196+AA158+AA222+AA208+AA170+AA145+AA132+AA183</f>
        <v>19903</v>
      </c>
      <c r="AB239" s="379">
        <f t="shared" si="614"/>
        <v>2319664</v>
      </c>
      <c r="AC239" s="379">
        <f t="shared" ref="AC239:AD239" si="615">AC8+AC196+AC158+AC222+AC208+AC170+AC145+AC132+AC183</f>
        <v>21597</v>
      </c>
      <c r="AD239" s="379">
        <f t="shared" si="615"/>
        <v>2341261</v>
      </c>
      <c r="AE239" s="379">
        <f t="shared" ref="AE239:AF239" si="616">AE8+AE196+AE158+AE222+AE208+AE170+AE145+AE132+AE183</f>
        <v>17102</v>
      </c>
      <c r="AF239" s="379">
        <f t="shared" si="616"/>
        <v>2358363</v>
      </c>
      <c r="AG239" s="379">
        <f t="shared" ref="AG239:AH239" si="617">AG8+AG196+AG158+AG222+AG208+AG170+AG145+AG132+AG183</f>
        <v>8055</v>
      </c>
      <c r="AH239" s="379">
        <f t="shared" si="617"/>
        <v>2366418</v>
      </c>
      <c r="AI239" s="379">
        <f t="shared" ref="AI239:AJ239" si="618">AI8+AI196+AI158+AI222+AI208+AI170+AI145+AI132+AI183</f>
        <v>2116986</v>
      </c>
      <c r="AJ239" s="379">
        <f t="shared" si="618"/>
        <v>76977</v>
      </c>
      <c r="AK239" s="379">
        <f t="shared" ref="AK239" si="619">AK8+AK196+AK158+AK222+AK208+AK170+AK145+AK132+AK183</f>
        <v>2193963</v>
      </c>
      <c r="AL239" s="42" t="s">
        <v>10</v>
      </c>
      <c r="AM239" s="17">
        <f t="shared" ref="AM239:AW239" si="620">AM8+AM133+AM146+AM158+AM171+AM184+AM196+AM209+AM223</f>
        <v>2123129</v>
      </c>
      <c r="AN239" s="17" t="e">
        <f t="shared" si="620"/>
        <v>#REF!</v>
      </c>
      <c r="AO239" s="17" t="e">
        <f t="shared" si="620"/>
        <v>#REF!</v>
      </c>
      <c r="AP239" s="17" t="e">
        <f t="shared" si="620"/>
        <v>#REF!</v>
      </c>
      <c r="AQ239" s="17" t="e">
        <f t="shared" si="620"/>
        <v>#REF!</v>
      </c>
      <c r="AR239" s="17">
        <f t="shared" si="620"/>
        <v>13062</v>
      </c>
      <c r="AS239" s="17" t="e">
        <f t="shared" si="620"/>
        <v>#REF!</v>
      </c>
      <c r="AT239" s="17">
        <f t="shared" si="620"/>
        <v>7455</v>
      </c>
      <c r="AU239" s="17">
        <f t="shared" si="620"/>
        <v>2204622</v>
      </c>
      <c r="AV239" s="17">
        <f t="shared" si="620"/>
        <v>14216</v>
      </c>
      <c r="AW239" s="17">
        <f t="shared" si="620"/>
        <v>2227153</v>
      </c>
      <c r="AX239" s="17">
        <f t="shared" ref="AX239:AY239" si="621">AX8+AX133+AX146+AX158+AX171+AX184+AX196+AX209+AX223</f>
        <v>10266</v>
      </c>
      <c r="AY239" s="17">
        <f t="shared" si="621"/>
        <v>2230957</v>
      </c>
      <c r="AZ239" s="17">
        <f t="shared" ref="AZ239:BA239" si="622">AZ8+AZ133+AZ146+AZ158+AZ171+AZ184+AZ196+AZ209+AZ223</f>
        <v>11832</v>
      </c>
      <c r="BA239" s="17">
        <f t="shared" si="622"/>
        <v>2248831</v>
      </c>
      <c r="BB239" s="17">
        <f t="shared" ref="BB239" si="623">BB8+BB133+BB146+BB158+BB171+BB184+BB196+BB209+BB223</f>
        <v>3381</v>
      </c>
      <c r="BC239" s="17">
        <f t="shared" ref="BC239:BD239" si="624">BC8+BC133+BC146+BC158+BC171+BC184+BC196+BC209+BC223</f>
        <v>2251477</v>
      </c>
      <c r="BD239" s="17">
        <f t="shared" si="624"/>
        <v>7219</v>
      </c>
      <c r="BE239" s="17">
        <f t="shared" ref="BE239:BF239" si="625">BE8+BE133+BE146+BE158+BE171+BE184+BE196+BE209+BE223</f>
        <v>2258696</v>
      </c>
      <c r="BF239" s="17">
        <f t="shared" si="625"/>
        <v>2212552</v>
      </c>
      <c r="BG239" s="17">
        <f t="shared" ref="BG239:BH239" si="626">BG8+BG133+BG146+BG158+BG171+BG184+BG196+BG209+BG223</f>
        <v>24474</v>
      </c>
      <c r="BH239" s="17">
        <f t="shared" si="626"/>
        <v>2237026</v>
      </c>
    </row>
    <row r="240" spans="1:60">
      <c r="A240" s="16" t="s">
        <v>36</v>
      </c>
      <c r="B240" s="379" t="e">
        <f>B53+#REF!+B223</f>
        <v>#REF!</v>
      </c>
      <c r="C240" s="379" t="e">
        <f>C53+#REF!+C223</f>
        <v>#REF!</v>
      </c>
      <c r="D240" s="379" t="e">
        <f>D53+#REF!+D223</f>
        <v>#REF!</v>
      </c>
      <c r="E240" s="379" t="e">
        <f>E53+#REF!+E223</f>
        <v>#REF!</v>
      </c>
      <c r="F240" s="379" t="e">
        <f>F53+#REF!+F223</f>
        <v>#REF!</v>
      </c>
      <c r="G240" s="379" t="e">
        <f>G53+#REF!+G223</f>
        <v>#REF!</v>
      </c>
      <c r="H240" s="379" t="e">
        <f>H53+#REF!+H223</f>
        <v>#REF!</v>
      </c>
      <c r="I240" s="379" t="e">
        <f>I53+#REF!+I223</f>
        <v>#REF!</v>
      </c>
      <c r="J240" s="379" t="e">
        <f>J53+#REF!+J223</f>
        <v>#REF!</v>
      </c>
      <c r="K240" s="379" t="e">
        <f>K53+#REF!+K223</f>
        <v>#REF!</v>
      </c>
      <c r="L240" s="379" t="e">
        <f>L53+#REF!+L223</f>
        <v>#REF!</v>
      </c>
      <c r="M240" s="379" t="e">
        <f>M53+#REF!+M223</f>
        <v>#REF!</v>
      </c>
      <c r="N240" s="379" t="e">
        <f>N53+#REF!+N223</f>
        <v>#REF!</v>
      </c>
      <c r="O240" s="379" t="e">
        <f>O53+#REF!+O223</f>
        <v>#REF!</v>
      </c>
      <c r="P240" s="379">
        <f t="shared" ref="P240:Z240" si="627">P53+P223</f>
        <v>1657096</v>
      </c>
      <c r="Q240" s="379">
        <f t="shared" si="627"/>
        <v>0</v>
      </c>
      <c r="R240" s="379">
        <f t="shared" si="627"/>
        <v>1657096</v>
      </c>
      <c r="S240" s="379">
        <f t="shared" si="627"/>
        <v>0</v>
      </c>
      <c r="T240" s="379">
        <f t="shared" si="627"/>
        <v>1657096</v>
      </c>
      <c r="U240" s="379">
        <f t="shared" si="627"/>
        <v>0</v>
      </c>
      <c r="V240" s="379">
        <f t="shared" si="627"/>
        <v>1657096</v>
      </c>
      <c r="W240" s="379">
        <f t="shared" si="627"/>
        <v>140000</v>
      </c>
      <c r="X240" s="379">
        <f t="shared" si="627"/>
        <v>1797096</v>
      </c>
      <c r="Y240" s="379">
        <f t="shared" si="627"/>
        <v>116887</v>
      </c>
      <c r="Z240" s="379">
        <f t="shared" si="627"/>
        <v>1913983</v>
      </c>
      <c r="AA240" s="379">
        <f t="shared" ref="AA240:AB240" si="628">AA53+AA223</f>
        <v>0</v>
      </c>
      <c r="AB240" s="379">
        <f t="shared" si="628"/>
        <v>1913983</v>
      </c>
      <c r="AC240" s="379">
        <f t="shared" ref="AC240:AD240" si="629">AC53+AC223</f>
        <v>369000</v>
      </c>
      <c r="AD240" s="379">
        <f t="shared" si="629"/>
        <v>2282983</v>
      </c>
      <c r="AE240" s="379">
        <f t="shared" ref="AE240:AF240" si="630">AE53+AE223</f>
        <v>192</v>
      </c>
      <c r="AF240" s="379">
        <f t="shared" si="630"/>
        <v>2283175</v>
      </c>
      <c r="AG240" s="379">
        <f t="shared" ref="AG240:AH240" si="631">AG53+AG223</f>
        <v>0</v>
      </c>
      <c r="AH240" s="379">
        <f t="shared" si="631"/>
        <v>2283175</v>
      </c>
      <c r="AI240" s="379">
        <f t="shared" ref="AI240:AJ240" si="632">AI53+AI223</f>
        <v>712209</v>
      </c>
      <c r="AJ240" s="379">
        <f t="shared" si="632"/>
        <v>511</v>
      </c>
      <c r="AK240" s="379">
        <f t="shared" ref="AK240" si="633">AK53+AK223</f>
        <v>712720</v>
      </c>
      <c r="AL240" s="16" t="s">
        <v>12</v>
      </c>
      <c r="AM240" s="17">
        <f t="shared" ref="AM240:AW240" si="634">AM9+AM134+AM147+AM159+AM172+AM185+AM197+AM210+AM224</f>
        <v>407970</v>
      </c>
      <c r="AN240" s="17" t="e">
        <f t="shared" si="634"/>
        <v>#REF!</v>
      </c>
      <c r="AO240" s="17" t="e">
        <f t="shared" si="634"/>
        <v>#REF!</v>
      </c>
      <c r="AP240" s="17">
        <f t="shared" si="634"/>
        <v>7007</v>
      </c>
      <c r="AQ240" s="17" t="e">
        <f t="shared" si="634"/>
        <v>#REF!</v>
      </c>
      <c r="AR240" s="17">
        <f t="shared" si="634"/>
        <v>2521</v>
      </c>
      <c r="AS240" s="17" t="e">
        <f t="shared" si="634"/>
        <v>#REF!</v>
      </c>
      <c r="AT240" s="17">
        <f t="shared" si="634"/>
        <v>42112</v>
      </c>
      <c r="AU240" s="17">
        <f t="shared" si="634"/>
        <v>424948</v>
      </c>
      <c r="AV240" s="17">
        <f t="shared" si="634"/>
        <v>43290</v>
      </c>
      <c r="AW240" s="17" t="e">
        <f t="shared" si="634"/>
        <v>#REF!</v>
      </c>
      <c r="AX240" s="17">
        <f t="shared" ref="AX240:AY240" si="635">AX9+AX134+AX147+AX159+AX172+AX185+AX197+AX210+AX224</f>
        <v>42035</v>
      </c>
      <c r="AY240" s="17">
        <f t="shared" si="635"/>
        <v>429177</v>
      </c>
      <c r="AZ240" s="17">
        <f t="shared" ref="AZ240:BA240" si="636">AZ9+AZ134+AZ147+AZ159+AZ172+AZ185+AZ197+AZ210+AZ224</f>
        <v>43037</v>
      </c>
      <c r="BA240" s="17">
        <f t="shared" si="636"/>
        <v>432391</v>
      </c>
      <c r="BB240" s="17">
        <f t="shared" ref="BB240" si="637">BB9+BB134+BB147+BB159+BB172+BB185+BB197+BB210+BB224</f>
        <v>39742</v>
      </c>
      <c r="BC240" s="17">
        <f t="shared" ref="BC240:BD240" si="638">BC9+BC134+BC147+BC159+BC172+BC185+BC197+BC210+BC224</f>
        <v>472133</v>
      </c>
      <c r="BD240" s="17">
        <f t="shared" si="638"/>
        <v>41743</v>
      </c>
      <c r="BE240" s="17">
        <f t="shared" ref="BE240:BF240" si="639">BE9+BE134+BE147+BE159+BE172+BE185+BE197+BE210+BE224</f>
        <v>432370</v>
      </c>
      <c r="BF240" s="17">
        <f t="shared" si="639"/>
        <v>389049</v>
      </c>
      <c r="BG240" s="17">
        <f t="shared" ref="BG240:BH240" si="640">BG9+BG134+BG147+BG159+BG172+BG185+BG197+BG210+BG224</f>
        <v>4285</v>
      </c>
      <c r="BH240" s="17">
        <f t="shared" si="640"/>
        <v>393334</v>
      </c>
    </row>
    <row r="241" spans="1:60">
      <c r="A241" s="16" t="s">
        <v>45</v>
      </c>
      <c r="B241" s="379">
        <f t="shared" ref="B241:Z241" si="641">B68</f>
        <v>0</v>
      </c>
      <c r="C241" s="379">
        <f t="shared" si="641"/>
        <v>0</v>
      </c>
      <c r="D241" s="379">
        <f t="shared" si="641"/>
        <v>0</v>
      </c>
      <c r="E241" s="379">
        <f t="shared" si="641"/>
        <v>0</v>
      </c>
      <c r="F241" s="379">
        <f t="shared" si="641"/>
        <v>0</v>
      </c>
      <c r="G241" s="379">
        <f t="shared" si="641"/>
        <v>0</v>
      </c>
      <c r="H241" s="379">
        <f t="shared" si="641"/>
        <v>0</v>
      </c>
      <c r="I241" s="379">
        <f t="shared" si="641"/>
        <v>0</v>
      </c>
      <c r="J241" s="379">
        <f t="shared" si="641"/>
        <v>0</v>
      </c>
      <c r="K241" s="379">
        <f t="shared" si="641"/>
        <v>0</v>
      </c>
      <c r="L241" s="379">
        <f t="shared" si="641"/>
        <v>0</v>
      </c>
      <c r="M241" s="379">
        <f t="shared" si="641"/>
        <v>0</v>
      </c>
      <c r="N241" s="379">
        <f t="shared" si="641"/>
        <v>101101</v>
      </c>
      <c r="O241" s="379">
        <f t="shared" si="641"/>
        <v>1659166</v>
      </c>
      <c r="P241" s="379">
        <f t="shared" si="641"/>
        <v>2050415</v>
      </c>
      <c r="Q241" s="379">
        <f t="shared" si="641"/>
        <v>0</v>
      </c>
      <c r="R241" s="379">
        <f t="shared" si="641"/>
        <v>2050415</v>
      </c>
      <c r="S241" s="379">
        <f t="shared" si="641"/>
        <v>0</v>
      </c>
      <c r="T241" s="379">
        <f t="shared" si="641"/>
        <v>2050415</v>
      </c>
      <c r="U241" s="379">
        <f t="shared" si="641"/>
        <v>0</v>
      </c>
      <c r="V241" s="379">
        <f t="shared" si="641"/>
        <v>2050415</v>
      </c>
      <c r="W241" s="379">
        <f t="shared" si="641"/>
        <v>0</v>
      </c>
      <c r="X241" s="379">
        <f t="shared" si="641"/>
        <v>2050415</v>
      </c>
      <c r="Y241" s="379">
        <f t="shared" si="641"/>
        <v>0</v>
      </c>
      <c r="Z241" s="379">
        <f t="shared" si="641"/>
        <v>2050415</v>
      </c>
      <c r="AA241" s="379">
        <f t="shared" ref="AA241:AB241" si="642">AA68</f>
        <v>0</v>
      </c>
      <c r="AB241" s="379">
        <f t="shared" si="642"/>
        <v>2050415</v>
      </c>
      <c r="AC241" s="379">
        <f t="shared" ref="AC241:AD241" si="643">AC68</f>
        <v>0</v>
      </c>
      <c r="AD241" s="379">
        <f t="shared" si="643"/>
        <v>2050415</v>
      </c>
      <c r="AE241" s="379">
        <f t="shared" ref="AE241:AF241" si="644">AE68</f>
        <v>0</v>
      </c>
      <c r="AF241" s="379">
        <f t="shared" si="644"/>
        <v>2050415</v>
      </c>
      <c r="AG241" s="379">
        <f t="shared" ref="AG241:AH241" si="645">AG68</f>
        <v>31700</v>
      </c>
      <c r="AH241" s="379">
        <f t="shared" si="645"/>
        <v>2082115</v>
      </c>
      <c r="AI241" s="379">
        <f t="shared" ref="AI241:AJ241" si="646">AI68</f>
        <v>2124850</v>
      </c>
      <c r="AJ241" s="379">
        <f t="shared" si="646"/>
        <v>0</v>
      </c>
      <c r="AK241" s="379">
        <f t="shared" ref="AK241" si="647">AK68</f>
        <v>2124850</v>
      </c>
      <c r="AL241" s="43" t="s">
        <v>14</v>
      </c>
      <c r="AM241" s="17">
        <f t="shared" ref="AM241:AW241" si="648">AM10+AM135+AM148+AM160+AM173+AM186+AM198+AM211+AM225</f>
        <v>1213554</v>
      </c>
      <c r="AN241" s="17" t="e">
        <f t="shared" si="648"/>
        <v>#REF!</v>
      </c>
      <c r="AO241" s="17" t="e">
        <f t="shared" si="648"/>
        <v>#REF!</v>
      </c>
      <c r="AP241" s="17">
        <f t="shared" si="648"/>
        <v>118508</v>
      </c>
      <c r="AQ241" s="17" t="e">
        <f t="shared" si="648"/>
        <v>#REF!</v>
      </c>
      <c r="AR241" s="17">
        <f t="shared" si="648"/>
        <v>30216</v>
      </c>
      <c r="AS241" s="17" t="e">
        <f t="shared" si="648"/>
        <v>#REF!</v>
      </c>
      <c r="AT241" s="17">
        <f t="shared" si="648"/>
        <v>165169</v>
      </c>
      <c r="AU241" s="17">
        <f t="shared" si="648"/>
        <v>1456982</v>
      </c>
      <c r="AV241" s="17">
        <f t="shared" si="648"/>
        <v>95144</v>
      </c>
      <c r="AW241" s="17" t="e">
        <f t="shared" si="648"/>
        <v>#REF!</v>
      </c>
      <c r="AX241" s="17">
        <f t="shared" ref="AX241:AY241" si="649">AX10+AX135+AX148+AX160+AX173+AX186+AX198+AX211+AX225</f>
        <v>52534</v>
      </c>
      <c r="AY241" s="17">
        <f t="shared" si="649"/>
        <v>1420941</v>
      </c>
      <c r="AZ241" s="17">
        <f t="shared" ref="AZ241:BA241" si="650">AZ10+AZ135+AZ148+AZ160+AZ173+AZ186+AZ198+AZ211+AZ225</f>
        <v>96586</v>
      </c>
      <c r="BA241" s="17">
        <f t="shared" si="650"/>
        <v>1431469</v>
      </c>
      <c r="BB241" s="17">
        <f t="shared" ref="BB241" si="651">BB10+BB135+BB148+BB160+BB173+BB186+BB198+BB211+BB225</f>
        <v>108438</v>
      </c>
      <c r="BC241" s="17">
        <f t="shared" ref="BC241:BD241" si="652">BC10+BC135+BC148+BC160+BC173+BC186+BC198+BC211+BC225</f>
        <v>1591789</v>
      </c>
      <c r="BD241" s="17">
        <f t="shared" si="652"/>
        <v>94901</v>
      </c>
      <c r="BE241" s="17">
        <f t="shared" ref="BE241:BF241" si="653">BE10+BE135+BE148+BE160+BE173+BE186+BE198+BE211+BE225</f>
        <v>1686690</v>
      </c>
      <c r="BF241" s="17">
        <f t="shared" si="653"/>
        <v>1228220</v>
      </c>
      <c r="BG241" s="17">
        <f t="shared" ref="BG241:BH241" si="654">BG10+BG135+BG148+BG160+BG173+BG186+BG198+BG211+BG225</f>
        <v>-39730</v>
      </c>
      <c r="BH241" s="17">
        <f t="shared" si="654"/>
        <v>1188490</v>
      </c>
    </row>
    <row r="242" spans="1:60">
      <c r="A242" s="16" t="s">
        <v>59</v>
      </c>
      <c r="B242" s="379" t="e">
        <f>B85+B133+B146+B159+B171+B184+B197+B209+B224+#REF!</f>
        <v>#REF!</v>
      </c>
      <c r="C242" s="379" t="e">
        <f>C85+C133+C146+C159+C171+C184+C197+C209+C224+#REF!</f>
        <v>#REF!</v>
      </c>
      <c r="D242" s="379" t="e">
        <f>D85+D133+D146+D159+D171+D184+D197+D209+D224+#REF!</f>
        <v>#REF!</v>
      </c>
      <c r="E242" s="379" t="e">
        <f>E85+E133+E146+E159+E171+E184+E197+E209+E224+#REF!</f>
        <v>#REF!</v>
      </c>
      <c r="F242" s="379" t="e">
        <f>F85+F133+F146+F159+F171+F184+F197+F209+F224+#REF!</f>
        <v>#REF!</v>
      </c>
      <c r="G242" s="379" t="e">
        <f>G85+G133+G146+G159+G171+G184+G197+G209+G224+#REF!</f>
        <v>#REF!</v>
      </c>
      <c r="H242" s="379" t="e">
        <f>H85+H133+H146+H159+H171+H184+H197+H209+H224+#REF!</f>
        <v>#REF!</v>
      </c>
      <c r="I242" s="379" t="e">
        <f>I85+I133+I146+I159+I171+I184+I197+I209+I224+#REF!</f>
        <v>#REF!</v>
      </c>
      <c r="J242" s="379" t="e">
        <f>J85+J133+J146+J159+J171+J184+J197+J209+J224+#REF!</f>
        <v>#REF!</v>
      </c>
      <c r="K242" s="379" t="e">
        <f>K85+K133+K146+K159+K171+K184+K197+K209+K224+#REF!</f>
        <v>#REF!</v>
      </c>
      <c r="L242" s="379" t="e">
        <f>L85+L133+L146+L159+L171+L184+L197+L209+L224+#REF!</f>
        <v>#REF!</v>
      </c>
      <c r="M242" s="379" t="e">
        <f>M85+M133+M146+M159+M171+M184+M197+M209+M224+#REF!</f>
        <v>#REF!</v>
      </c>
      <c r="N242" s="379" t="e">
        <f>N85+N133+N146+N159+N171+N184+N197+N209+N224+#REF!</f>
        <v>#REF!</v>
      </c>
      <c r="O242" s="379" t="e">
        <f>O85+O133+O146+O159+O171+O184+O197+O209+O224+#REF!</f>
        <v>#REF!</v>
      </c>
      <c r="P242" s="379">
        <f t="shared" ref="P242:Z242" si="655">P85+P133+P146+P159+P171+P184+P197+P209+P224</f>
        <v>982236.99</v>
      </c>
      <c r="Q242" s="379">
        <f t="shared" si="655"/>
        <v>0</v>
      </c>
      <c r="R242" s="379">
        <f t="shared" si="655"/>
        <v>982236.99</v>
      </c>
      <c r="S242" s="379">
        <f t="shared" si="655"/>
        <v>1893</v>
      </c>
      <c r="T242" s="379">
        <f t="shared" si="655"/>
        <v>984129.99</v>
      </c>
      <c r="U242" s="379">
        <f t="shared" si="655"/>
        <v>3017</v>
      </c>
      <c r="V242" s="379">
        <f t="shared" si="655"/>
        <v>987146.99</v>
      </c>
      <c r="W242" s="379">
        <f t="shared" si="655"/>
        <v>4281</v>
      </c>
      <c r="X242" s="379">
        <f t="shared" si="655"/>
        <v>991427.99</v>
      </c>
      <c r="Y242" s="379">
        <f t="shared" si="655"/>
        <v>0</v>
      </c>
      <c r="Z242" s="379">
        <f t="shared" si="655"/>
        <v>991427.99</v>
      </c>
      <c r="AA242" s="379">
        <f t="shared" ref="AA242:AB242" si="656">AA85+AA133+AA146+AA159+AA171+AA184+AA197+AA209+AA224</f>
        <v>2345</v>
      </c>
      <c r="AB242" s="379">
        <f t="shared" si="656"/>
        <v>993772.99</v>
      </c>
      <c r="AC242" s="379">
        <f t="shared" ref="AC242:AD242" si="657">AC85+AC133+AC146+AC159+AC171+AC184+AC197+AC209+AC224</f>
        <v>1121</v>
      </c>
      <c r="AD242" s="379">
        <f t="shared" si="657"/>
        <v>994893.99</v>
      </c>
      <c r="AE242" s="379">
        <f t="shared" ref="AE242:AF242" si="658">AE85+AE133+AE146+AE159+AE171+AE184+AE197+AE209+AE224</f>
        <v>5274</v>
      </c>
      <c r="AF242" s="379">
        <f t="shared" si="658"/>
        <v>1000167.99</v>
      </c>
      <c r="AG242" s="379">
        <f t="shared" ref="AG242:AH242" si="659">AG85+AG133+AG146+AG159+AG171+AG184+AG197+AG209+AG224</f>
        <v>0</v>
      </c>
      <c r="AH242" s="379">
        <f t="shared" si="659"/>
        <v>1000167.99</v>
      </c>
      <c r="AI242" s="379">
        <f t="shared" ref="AI242:AJ242" si="660">AI85+AI133+AI146+AI159+AI171+AI184+AI197+AI209+AI224</f>
        <v>794541</v>
      </c>
      <c r="AJ242" s="379">
        <f t="shared" si="660"/>
        <v>0</v>
      </c>
      <c r="AK242" s="379">
        <f t="shared" ref="AK242" si="661">AK85+AK133+AK146+AK159+AK171+AK184+AK197+AK209+AK224</f>
        <v>794541</v>
      </c>
      <c r="AL242" s="180" t="s">
        <v>16</v>
      </c>
      <c r="AM242" s="17">
        <f t="shared" ref="AM242:AW242" si="662">AM11+AM136+AM149+AM161+AM174+AM187+AM199+AM212+AM226</f>
        <v>73164</v>
      </c>
      <c r="AN242" s="17" t="e">
        <f t="shared" si="662"/>
        <v>#REF!</v>
      </c>
      <c r="AO242" s="17" t="e">
        <f t="shared" si="662"/>
        <v>#REF!</v>
      </c>
      <c r="AP242" s="17" t="e">
        <f t="shared" si="662"/>
        <v>#REF!</v>
      </c>
      <c r="AQ242" s="17">
        <f t="shared" si="662"/>
        <v>73164</v>
      </c>
      <c r="AR242" s="17" t="e">
        <f t="shared" si="662"/>
        <v>#REF!</v>
      </c>
      <c r="AS242" s="17" t="e">
        <f t="shared" si="662"/>
        <v>#REF!</v>
      </c>
      <c r="AT242" s="17" t="e">
        <f t="shared" si="662"/>
        <v>#REF!</v>
      </c>
      <c r="AU242" s="17" t="e">
        <f t="shared" si="662"/>
        <v>#REF!</v>
      </c>
      <c r="AV242" s="17">
        <f t="shared" si="662"/>
        <v>0</v>
      </c>
      <c r="AW242" s="17" t="e">
        <f t="shared" si="662"/>
        <v>#REF!</v>
      </c>
      <c r="AX242" s="17">
        <f t="shared" ref="AX242:AY242" si="663">AX11+AX136+AX149+AX161+AX174+AX187+AX199+AX212+AX226</f>
        <v>0</v>
      </c>
      <c r="AY242" s="17" t="e">
        <f t="shared" si="663"/>
        <v>#REF!</v>
      </c>
      <c r="AZ242" s="17">
        <f t="shared" ref="AZ242:BA242" si="664">AZ11+AZ136+AZ149+AZ161+AZ174+AZ187+AZ199+AZ212+AZ226</f>
        <v>0</v>
      </c>
      <c r="BA242" s="17" t="e">
        <f t="shared" si="664"/>
        <v>#REF!</v>
      </c>
      <c r="BB242" s="17">
        <f t="shared" ref="BB242" si="665">BB11+BB136+BB149+BB161+BB174+BB187+BB199+BB212+BB226</f>
        <v>0</v>
      </c>
      <c r="BC242" s="17" t="e">
        <f t="shared" ref="BC242:BD242" si="666">BC11+BC136+BC149+BC161+BC174+BC187+BC199+BC212+BC226</f>
        <v>#REF!</v>
      </c>
      <c r="BD242" s="17">
        <f t="shared" si="666"/>
        <v>0</v>
      </c>
      <c r="BE242" s="17" t="e">
        <f t="shared" ref="BE242:BF242" si="667">BE11+BE136+BE149+BE161+BE174+BE187+BE199+BE212+BE226</f>
        <v>#REF!</v>
      </c>
      <c r="BF242" s="17">
        <f t="shared" si="667"/>
        <v>31960</v>
      </c>
      <c r="BG242" s="17">
        <f t="shared" ref="BG242:BH242" si="668">BG11+BG136+BG149+BG161+BG174+BG187+BG199+BG212+BG226</f>
        <v>0</v>
      </c>
      <c r="BH242" s="17">
        <f t="shared" si="668"/>
        <v>31960</v>
      </c>
    </row>
    <row r="243" spans="1:60">
      <c r="A243" s="16" t="s">
        <v>67</v>
      </c>
      <c r="B243" s="379" t="e">
        <f>B97+B134+B147+B160+B172+B185+B198+B210+B225+#REF!</f>
        <v>#REF!</v>
      </c>
      <c r="C243" s="379" t="e">
        <f>C97+C134+C147+C160+C172+C185+C198+C210+C225+#REF!</f>
        <v>#REF!</v>
      </c>
      <c r="D243" s="379" t="e">
        <f>D97+D134+D147+D160+D172+D185+D198+D210+D225+#REF!</f>
        <v>#REF!</v>
      </c>
      <c r="E243" s="379" t="e">
        <f>E97+E134+E147+E160+E172+E185+E198+E210+E225+#REF!</f>
        <v>#REF!</v>
      </c>
      <c r="F243" s="379" t="e">
        <f>F97+F134+F147+F160+F172+F185+F198+F210+F225+#REF!</f>
        <v>#REF!</v>
      </c>
      <c r="G243" s="379" t="e">
        <f>G97+G134+G147+G160+G172+G185+G198+G210+G225+#REF!</f>
        <v>#REF!</v>
      </c>
      <c r="H243" s="379" t="e">
        <f>H97+H134+H147+H160+H172+H185+H198+H210+H225+#REF!</f>
        <v>#REF!</v>
      </c>
      <c r="I243" s="379" t="e">
        <f>I97+I134+I147+I160+I172+I185+I198+I210+I225+#REF!</f>
        <v>#REF!</v>
      </c>
      <c r="J243" s="379" t="e">
        <f>J97+J134+J147+J160+J172+J185+J198+J210+J225+#REF!</f>
        <v>#REF!</v>
      </c>
      <c r="K243" s="379" t="e">
        <f>K97+K134+K147+K160+K172+K185+K198+K210+K225+#REF!</f>
        <v>#REF!</v>
      </c>
      <c r="L243" s="379" t="e">
        <f>L97+L134+L147+L160+L172+L185+L198+L210+L225+#REF!</f>
        <v>#REF!</v>
      </c>
      <c r="M243" s="379" t="e">
        <f>M97+M134+M147+M160+M172+M185+M198+M210+M225+#REF!</f>
        <v>#REF!</v>
      </c>
      <c r="N243" s="379" t="e">
        <f>N97+N134+N147+N160+N172+N185+N198+N210+N225+#REF!</f>
        <v>#REF!</v>
      </c>
      <c r="O243" s="379" t="e">
        <f>O97+O134+O147+O160+O172+O185+O198+O210+O225+#REF!</f>
        <v>#REF!</v>
      </c>
      <c r="P243" s="379">
        <f t="shared" ref="P243:Z243" si="669">P97+P134+P147+P160+P172+P185+P198+P210+P225</f>
        <v>150000</v>
      </c>
      <c r="Q243" s="379">
        <f t="shared" si="669"/>
        <v>0</v>
      </c>
      <c r="R243" s="379">
        <f t="shared" si="669"/>
        <v>150000</v>
      </c>
      <c r="S243" s="379">
        <f t="shared" si="669"/>
        <v>100</v>
      </c>
      <c r="T243" s="379">
        <f t="shared" si="669"/>
        <v>150100</v>
      </c>
      <c r="U243" s="379">
        <f t="shared" si="669"/>
        <v>0</v>
      </c>
      <c r="V243" s="379">
        <f t="shared" si="669"/>
        <v>150100</v>
      </c>
      <c r="W243" s="379">
        <f t="shared" si="669"/>
        <v>0</v>
      </c>
      <c r="X243" s="379">
        <f t="shared" si="669"/>
        <v>150100</v>
      </c>
      <c r="Y243" s="379">
        <f t="shared" si="669"/>
        <v>0</v>
      </c>
      <c r="Z243" s="379">
        <f t="shared" si="669"/>
        <v>150100</v>
      </c>
      <c r="AA243" s="379">
        <f t="shared" ref="AA243:AB243" si="670">AA97+AA134+AA147+AA160+AA172+AA185+AA198+AA210+AA225</f>
        <v>0</v>
      </c>
      <c r="AB243" s="379">
        <f t="shared" si="670"/>
        <v>150100</v>
      </c>
      <c r="AC243" s="379">
        <f t="shared" ref="AC243:AD243" si="671">AC97+AC134+AC147+AC160+AC172+AC185+AC198+AC210+AC225</f>
        <v>0</v>
      </c>
      <c r="AD243" s="379">
        <f t="shared" si="671"/>
        <v>150100</v>
      </c>
      <c r="AE243" s="379">
        <f t="shared" ref="AE243:AF243" si="672">AE97+AE134+AE147+AE160+AE172+AE185+AE198+AE210+AE225</f>
        <v>0</v>
      </c>
      <c r="AF243" s="379">
        <f t="shared" si="672"/>
        <v>150100</v>
      </c>
      <c r="AG243" s="379">
        <f t="shared" ref="AG243:AH243" si="673">AG97+AG134+AG147+AG160+AG172+AG185+AG198+AG210+AG225</f>
        <v>0</v>
      </c>
      <c r="AH243" s="379">
        <f t="shared" si="673"/>
        <v>150100</v>
      </c>
      <c r="AI243" s="379">
        <f t="shared" ref="AI243:AJ243" si="674">AI97+AI134+AI147+AI160+AI172+AI185+AI198+AI210+AI225</f>
        <v>172952</v>
      </c>
      <c r="AJ243" s="379">
        <f t="shared" si="674"/>
        <v>0</v>
      </c>
      <c r="AK243" s="379">
        <f t="shared" ref="AK243" si="675">AK97+AK134+AK147+AK160+AK172+AK185+AK198+AK210+AK225</f>
        <v>172952</v>
      </c>
      <c r="AL243" s="43" t="s">
        <v>18</v>
      </c>
      <c r="AM243" s="17">
        <f>AM12+AM137+AM150+AM162+AM175+AM188+AM200+AM213+AM227-71419</f>
        <v>671084</v>
      </c>
      <c r="AN243" s="17" t="e">
        <f>AN12+AN137+AN150+AN162+AN175+AN188+AN200+AN213+AN227-'Célf.'!#REF!</f>
        <v>#REF!</v>
      </c>
      <c r="AO243" s="17" t="e">
        <f>AO12+AO137+AO150+AO162+AO175+AO188+AO200+AO213+AO227-'Célf.'!#REF!</f>
        <v>#REF!</v>
      </c>
      <c r="AP243" s="17" t="e">
        <f>AP12+AP137+AP150+AP162+AP175+AP188+AP200+AP213+AP227-'Célf.'!#REF!</f>
        <v>#REF!</v>
      </c>
      <c r="AQ243" s="17" t="e">
        <f>AQ12+AQ137+AQ150+AQ162+AQ175+AQ188+AQ200+AQ213+AQ227-'Célf.'!#REF!</f>
        <v>#REF!</v>
      </c>
      <c r="AR243" s="17" t="e">
        <f>AR12+AR137+AR150+AR162+AR175+AR188+AR200+AR213+AR227-'Célf.'!#REF!</f>
        <v>#REF!</v>
      </c>
      <c r="AS243" s="17" t="e">
        <f>AS12+AS137+AS150+AS162+AS175+AS188+AS200+AS213+AS227-'Célf.'!#REF!</f>
        <v>#REF!</v>
      </c>
      <c r="AT243" s="17" t="e">
        <f>AT12+AT137+AT150+AT162+AT175+AT188+AT200+AT213+AT227-'Célf.'!#REF!</f>
        <v>#REF!</v>
      </c>
      <c r="AU243" s="17" t="e">
        <f>AU12+AU137+AU150+AU162+AU175+AU188+AU200+AU213+AU227-'Célf.'!#REF!</f>
        <v>#REF!</v>
      </c>
      <c r="AV243" s="17" t="e">
        <f>AV12+AV137+AV150+AV162+AV175+AV188+AV200+AV213+AV227-'Célf.'!F15</f>
        <v>#REF!</v>
      </c>
      <c r="AW243" s="17" t="e">
        <f>AW12+AW137+AW150+AW162+AW175+AW188+AW200+AW213+AW227-'Célf.'!G15</f>
        <v>#REF!</v>
      </c>
      <c r="AX243" s="17" t="e">
        <f>AX12+AX137+AX150+AX162+AX175+AX188+AX200+AX213+AX227-'Célf.'!H15</f>
        <v>#REF!</v>
      </c>
      <c r="AY243" s="17" t="e">
        <f>AY12+AY137+AY150+AY162+AY175+AY188+AY200+AY213+AY227-'Célf.'!I15</f>
        <v>#REF!</v>
      </c>
      <c r="AZ243" s="17" t="e">
        <f>AZ12+AZ137+AZ150+AZ162+AZ175+AZ188+AZ200+AZ213+AZ227-'Célf.'!J15</f>
        <v>#REF!</v>
      </c>
      <c r="BA243" s="17" t="e">
        <f>BA12+BA137+BA150+BA162+BA175+BA188+BA200+BA213+BA227-'Célf.'!K15</f>
        <v>#REF!</v>
      </c>
      <c r="BB243" s="17" t="e">
        <f>BB12+BB137+BB150+BB162+BB175+BB188+BB200+BB213+BB227-'Célf.'!L15</f>
        <v>#REF!</v>
      </c>
      <c r="BC243" s="17" t="e">
        <f>BC12+BC137+BC150+BC162+BC175+BC188+BC200+BC213+BC227-'Célf.'!M15</f>
        <v>#REF!</v>
      </c>
      <c r="BD243" s="17" t="e">
        <f>BD12+BD137+BD150+BD162+BD175+BD188+BD200+BD213+BD227-'Célf.'!N15</f>
        <v>#REF!</v>
      </c>
      <c r="BE243" s="17">
        <f>BE12+BE137+BE150+BE162+BE175+BE188+BE200+BE213+BE227-'Célf.'!O15</f>
        <v>905753</v>
      </c>
      <c r="BF243" s="17">
        <f>BF12+BF137+BF150+BF162+BF175+BF188+BF200+BF213+BF227-'Célf.'!P15</f>
        <v>720957</v>
      </c>
      <c r="BG243" s="17">
        <f>BG12+BG137+BG150+BG162+BG175+BG188+BG200+BG213+BG227-'Célf.'!Q15</f>
        <v>28161</v>
      </c>
      <c r="BH243" s="17">
        <f>BH12+BH137+BH150+BH162+BH175+BH188+BH200+BH213+BH227-'Célf.'!R15</f>
        <v>749118</v>
      </c>
    </row>
    <row r="244" spans="1:60">
      <c r="A244" s="16" t="s">
        <v>70</v>
      </c>
      <c r="B244" s="379" t="e">
        <f>B100+B135+B148+B161+B173+B186+B199+B211+B226+#REF!</f>
        <v>#REF!</v>
      </c>
      <c r="C244" s="379" t="e">
        <f>C100+C135+C148+C161+C173+C186+C199+C211+C226+#REF!</f>
        <v>#REF!</v>
      </c>
      <c r="D244" s="379" t="e">
        <f>D100+D135+D148+D161+D173+D186+D199+D211+D226+#REF!</f>
        <v>#REF!</v>
      </c>
      <c r="E244" s="379" t="e">
        <f>E100+E135+E148+E161+E173+E186+E199+E211+E226+#REF!</f>
        <v>#REF!</v>
      </c>
      <c r="F244" s="379" t="e">
        <f>F100+F135+F148+F161+F173+F186+F199+F211+F226+#REF!</f>
        <v>#REF!</v>
      </c>
      <c r="G244" s="379" t="e">
        <f>G100+G135+G148+G161+G173+G186+G199+G211+G226+#REF!</f>
        <v>#REF!</v>
      </c>
      <c r="H244" s="379" t="e">
        <f>H100+H135+H148+H161+H173+H186+H199+H211+H226+#REF!</f>
        <v>#REF!</v>
      </c>
      <c r="I244" s="379" t="e">
        <f>I100+I135+I148+I161+I173+I186+I199+I211+I226+#REF!</f>
        <v>#REF!</v>
      </c>
      <c r="J244" s="379" t="e">
        <f>J100+J135+J148+J161+J173+J186+J199+J211+J226+#REF!</f>
        <v>#REF!</v>
      </c>
      <c r="K244" s="379" t="e">
        <f>K100+K135+K148+K161+K173+K186+K199+K211+K226+#REF!</f>
        <v>#REF!</v>
      </c>
      <c r="L244" s="379" t="e">
        <f>L100+L135+L148+L161+L173+L186+L199+L211+L226+#REF!</f>
        <v>#REF!</v>
      </c>
      <c r="M244" s="379" t="e">
        <f>M100+M135+M148+M161+M173+M186+M199+M211+M226+#REF!</f>
        <v>#REF!</v>
      </c>
      <c r="N244" s="379" t="e">
        <f>N100+N135+N148+N161+N173+N186+N199+N211+N226+#REF!</f>
        <v>#REF!</v>
      </c>
      <c r="O244" s="379" t="e">
        <f>O100+O135+O148+O161+O173+O186+O199+O211+O226+#REF!</f>
        <v>#REF!</v>
      </c>
      <c r="P244" s="379">
        <f t="shared" ref="P244:Z244" si="676">P100+P135+P148+P161+P173+P186+P199+P211</f>
        <v>0</v>
      </c>
      <c r="Q244" s="379">
        <f t="shared" si="676"/>
        <v>3381</v>
      </c>
      <c r="R244" s="379">
        <f t="shared" si="676"/>
        <v>3381</v>
      </c>
      <c r="S244" s="379">
        <f t="shared" si="676"/>
        <v>13851</v>
      </c>
      <c r="T244" s="379">
        <f t="shared" si="676"/>
        <v>17232</v>
      </c>
      <c r="U244" s="379">
        <f t="shared" si="676"/>
        <v>2811</v>
      </c>
      <c r="V244" s="379">
        <f t="shared" si="676"/>
        <v>20043</v>
      </c>
      <c r="W244" s="379">
        <f t="shared" si="676"/>
        <v>595</v>
      </c>
      <c r="X244" s="379">
        <f t="shared" si="676"/>
        <v>20638</v>
      </c>
      <c r="Y244" s="379">
        <f t="shared" si="676"/>
        <v>45000</v>
      </c>
      <c r="Z244" s="379">
        <f t="shared" si="676"/>
        <v>65638</v>
      </c>
      <c r="AA244" s="379">
        <f t="shared" ref="AA244:AB244" si="677">AA100+AA135+AA148+AA161+AA173+AA186+AA199+AA211</f>
        <v>10869</v>
      </c>
      <c r="AB244" s="379">
        <f t="shared" si="677"/>
        <v>76507</v>
      </c>
      <c r="AC244" s="379">
        <f t="shared" ref="AC244:AD244" si="678">AC100+AC135+AC148+AC161+AC173+AC186+AC199+AC211</f>
        <v>0</v>
      </c>
      <c r="AD244" s="379">
        <f t="shared" si="678"/>
        <v>76507</v>
      </c>
      <c r="AE244" s="379">
        <f t="shared" ref="AE244:AF244" si="679">AE100+AE135+AE148+AE161+AE173+AE186+AE199+AE211</f>
        <v>0</v>
      </c>
      <c r="AF244" s="379">
        <f t="shared" si="679"/>
        <v>76507</v>
      </c>
      <c r="AG244" s="379">
        <f t="shared" ref="AG244:AH244" si="680">AG100+AG135+AG148+AG161+AG173+AG186+AG199+AG211</f>
        <v>-36545</v>
      </c>
      <c r="AH244" s="379">
        <f t="shared" si="680"/>
        <v>39962</v>
      </c>
      <c r="AI244" s="379">
        <f t="shared" ref="AI244:AJ244" si="681">AI100+AI135+AI148+AI161+AI173+AI186+AI199+AI211</f>
        <v>36544</v>
      </c>
      <c r="AJ244" s="379">
        <f t="shared" si="681"/>
        <v>0</v>
      </c>
      <c r="AK244" s="379">
        <f t="shared" ref="AK244" si="682">AK100+AK135+AK148+AK161+AK173+AK186+AK199+AK211</f>
        <v>36544</v>
      </c>
      <c r="AL244" s="16" t="s">
        <v>37</v>
      </c>
      <c r="AM244" s="17">
        <f t="shared" ref="AM244:AW244" si="683">AM54+AM138+AM151+AM163+AM176+AM189+AM201+AM214+AM228</f>
        <v>4875770</v>
      </c>
      <c r="AN244" s="17" t="e">
        <f t="shared" si="683"/>
        <v>#REF!</v>
      </c>
      <c r="AO244" s="17" t="e">
        <f t="shared" si="683"/>
        <v>#REF!</v>
      </c>
      <c r="AP244" s="17" t="e">
        <f t="shared" si="683"/>
        <v>#REF!</v>
      </c>
      <c r="AQ244" s="17" t="e">
        <f t="shared" si="683"/>
        <v>#REF!</v>
      </c>
      <c r="AR244" s="17" t="e">
        <f t="shared" si="683"/>
        <v>#REF!</v>
      </c>
      <c r="AS244" s="17" t="e">
        <f t="shared" si="683"/>
        <v>#REF!</v>
      </c>
      <c r="AT244" s="17" t="e">
        <f t="shared" si="683"/>
        <v>#REF!</v>
      </c>
      <c r="AU244" s="17">
        <f t="shared" si="683"/>
        <v>5183236</v>
      </c>
      <c r="AV244" s="17" t="e">
        <f t="shared" si="683"/>
        <v>#REF!</v>
      </c>
      <c r="AW244" s="17" t="e">
        <f t="shared" si="683"/>
        <v>#REF!</v>
      </c>
      <c r="AX244" s="17" t="e">
        <f t="shared" ref="AX244:AY244" si="684">AX54+AX138+AX151+AX163+AX176+AX189+AX201+AX214+AX228</f>
        <v>#REF!</v>
      </c>
      <c r="AY244" s="17" t="e">
        <f t="shared" si="684"/>
        <v>#REF!</v>
      </c>
      <c r="AZ244" s="17" t="e">
        <f t="shared" ref="AZ244:BA244" si="685">AZ54+AZ138+AZ151+AZ163+AZ176+AZ189+AZ201+AZ214+AZ228</f>
        <v>#REF!</v>
      </c>
      <c r="BA244" s="17" t="e">
        <f t="shared" si="685"/>
        <v>#REF!</v>
      </c>
      <c r="BB244" s="17" t="e">
        <f t="shared" ref="BB244" si="686">BB54+BB138+BB151+BB163+BB176+BB189+BB201+BB214+BB228</f>
        <v>#REF!</v>
      </c>
      <c r="BC244" s="17" t="e">
        <f t="shared" ref="BC244:BD244" si="687">BC54+BC138+BC151+BC163+BC176+BC189+BC201+BC214+BC228</f>
        <v>#REF!</v>
      </c>
      <c r="BD244" s="17" t="e">
        <f t="shared" si="687"/>
        <v>#REF!</v>
      </c>
      <c r="BE244" s="17">
        <f t="shared" ref="BE244:BF244" si="688">BE54+BE138+BE151+BE163+BE176+BE189+BE201+BE214+BE228</f>
        <v>5361782</v>
      </c>
      <c r="BF244" s="17">
        <f t="shared" si="688"/>
        <v>2914307</v>
      </c>
      <c r="BG244" s="17">
        <f t="shared" ref="BG244:BH244" si="689">BG54+BG138+BG151+BG163+BG176+BG189+BG201+BG214+BG228</f>
        <v>60148</v>
      </c>
      <c r="BH244" s="17">
        <f t="shared" si="689"/>
        <v>2974455</v>
      </c>
    </row>
    <row r="245" spans="1:60">
      <c r="A245" s="16" t="s">
        <v>72</v>
      </c>
      <c r="B245" s="379" t="e">
        <f t="shared" ref="B245:K245" si="690">B113</f>
        <v>#REF!</v>
      </c>
      <c r="C245" s="379" t="e">
        <f t="shared" si="690"/>
        <v>#REF!</v>
      </c>
      <c r="D245" s="379" t="e">
        <f t="shared" si="690"/>
        <v>#REF!</v>
      </c>
      <c r="E245" s="379" t="e">
        <f t="shared" si="690"/>
        <v>#REF!</v>
      </c>
      <c r="F245" s="379" t="e">
        <f t="shared" si="690"/>
        <v>#REF!</v>
      </c>
      <c r="G245" s="379" t="e">
        <f t="shared" si="690"/>
        <v>#REF!</v>
      </c>
      <c r="H245" s="379" t="e">
        <f t="shared" si="690"/>
        <v>#REF!</v>
      </c>
      <c r="I245" s="379" t="e">
        <f t="shared" si="690"/>
        <v>#REF!</v>
      </c>
      <c r="J245" s="379" t="e">
        <f t="shared" si="690"/>
        <v>#REF!</v>
      </c>
      <c r="K245" s="379" t="e">
        <f t="shared" si="690"/>
        <v>#REF!</v>
      </c>
      <c r="L245" s="379" t="e">
        <f t="shared" ref="L245:R245" si="691">L113+L162</f>
        <v>#REF!</v>
      </c>
      <c r="M245" s="379" t="e">
        <f t="shared" si="691"/>
        <v>#REF!</v>
      </c>
      <c r="N245" s="379" t="e">
        <f t="shared" si="691"/>
        <v>#REF!</v>
      </c>
      <c r="O245" s="379" t="e">
        <f t="shared" si="691"/>
        <v>#REF!</v>
      </c>
      <c r="P245" s="379">
        <f t="shared" si="691"/>
        <v>26529</v>
      </c>
      <c r="Q245" s="379">
        <f t="shared" si="691"/>
        <v>0</v>
      </c>
      <c r="R245" s="379">
        <f t="shared" si="691"/>
        <v>26529</v>
      </c>
      <c r="S245" s="379">
        <f t="shared" ref="S245:T245" si="692">S113+S162</f>
        <v>187</v>
      </c>
      <c r="T245" s="379">
        <f t="shared" si="692"/>
        <v>26716</v>
      </c>
      <c r="U245" s="379">
        <f t="shared" ref="U245:V245" si="693">U113+U162</f>
        <v>370</v>
      </c>
      <c r="V245" s="379">
        <f t="shared" si="693"/>
        <v>27086</v>
      </c>
      <c r="W245" s="379">
        <f t="shared" ref="W245:X245" si="694">W113+W162</f>
        <v>986</v>
      </c>
      <c r="X245" s="379">
        <f t="shared" si="694"/>
        <v>28072</v>
      </c>
      <c r="Y245" s="379">
        <f t="shared" ref="Y245:Z245" si="695">Y113+Y162</f>
        <v>-369</v>
      </c>
      <c r="Z245" s="379">
        <f t="shared" si="695"/>
        <v>27703</v>
      </c>
      <c r="AA245" s="379">
        <f t="shared" ref="AA245:AB245" si="696">AA113+AA162</f>
        <v>0</v>
      </c>
      <c r="AB245" s="379">
        <f t="shared" si="696"/>
        <v>27703</v>
      </c>
      <c r="AC245" s="379">
        <f t="shared" ref="AC245:AD245" si="697">AC113+AC162</f>
        <v>0</v>
      </c>
      <c r="AD245" s="379">
        <f t="shared" si="697"/>
        <v>27703</v>
      </c>
      <c r="AE245" s="379">
        <f t="shared" ref="AE245:AF245" si="698">AE113+AE162</f>
        <v>0</v>
      </c>
      <c r="AF245" s="379">
        <f t="shared" si="698"/>
        <v>27703</v>
      </c>
      <c r="AG245" s="379">
        <f t="shared" ref="AG245:AH245" si="699">AG113+AG162</f>
        <v>-20000</v>
      </c>
      <c r="AH245" s="379">
        <f t="shared" si="699"/>
        <v>7703</v>
      </c>
      <c r="AI245" s="379">
        <f t="shared" ref="AI245:AJ245" si="700">AI113+AI162</f>
        <v>27958</v>
      </c>
      <c r="AJ245" s="379">
        <f t="shared" si="700"/>
        <v>0</v>
      </c>
      <c r="AK245" s="379">
        <f t="shared" ref="AK245" si="701">AK113+AK162</f>
        <v>27958</v>
      </c>
      <c r="AL245" s="16" t="s">
        <v>39</v>
      </c>
      <c r="AM245" s="17">
        <f t="shared" ref="AM245:AW245" si="702">AM55+AM139+AM152+AM164+AM177+AM190+AM202+AM215+AM229</f>
        <v>456890</v>
      </c>
      <c r="AN245" s="17" t="e">
        <f t="shared" si="702"/>
        <v>#REF!</v>
      </c>
      <c r="AO245" s="17" t="e">
        <f t="shared" si="702"/>
        <v>#REF!</v>
      </c>
      <c r="AP245" s="17" t="e">
        <f t="shared" si="702"/>
        <v>#REF!</v>
      </c>
      <c r="AQ245" s="17" t="e">
        <f t="shared" si="702"/>
        <v>#REF!</v>
      </c>
      <c r="AR245" s="17" t="e">
        <f t="shared" si="702"/>
        <v>#VALUE!</v>
      </c>
      <c r="AS245" s="17" t="e">
        <f t="shared" si="702"/>
        <v>#REF!</v>
      </c>
      <c r="AT245" s="17" t="e">
        <f t="shared" si="702"/>
        <v>#REF!</v>
      </c>
      <c r="AU245" s="17" t="e">
        <f t="shared" si="702"/>
        <v>#REF!</v>
      </c>
      <c r="AV245" s="17" t="e">
        <f t="shared" si="702"/>
        <v>#REF!</v>
      </c>
      <c r="AW245" s="17" t="e">
        <f t="shared" si="702"/>
        <v>#REF!</v>
      </c>
      <c r="AX245" s="17">
        <f t="shared" ref="AX245:AY245" si="703">AX55+AX139+AX152+AX164+AX177+AX190+AX202+AX215+AX229</f>
        <v>0</v>
      </c>
      <c r="AY245" s="17" t="e">
        <f t="shared" si="703"/>
        <v>#REF!</v>
      </c>
      <c r="AZ245" s="17">
        <f t="shared" ref="AZ245:BA245" si="704">AZ55+AZ139+AZ152+AZ164+AZ177+AZ190+AZ202+AZ215+AZ229</f>
        <v>0</v>
      </c>
      <c r="BA245" s="17" t="e">
        <f t="shared" si="704"/>
        <v>#REF!</v>
      </c>
      <c r="BB245" s="17" t="e">
        <f t="shared" ref="BB245" si="705">BB55+BB139+BB152+BB164+BB177+BB190+BB202+BB215+BB229</f>
        <v>#REF!</v>
      </c>
      <c r="BC245" s="17" t="e">
        <f t="shared" ref="BC245:BD245" si="706">BC55+BC139+BC152+BC164+BC177+BC190+BC202+BC215+BC229</f>
        <v>#REF!</v>
      </c>
      <c r="BD245" s="17" t="e">
        <f t="shared" si="706"/>
        <v>#REF!</v>
      </c>
      <c r="BE245" s="17">
        <f t="shared" ref="BE245:BF245" si="707">BE55+BE139+BE152+BE164+BE177+BE190+BE202+BE215+BE229</f>
        <v>557051</v>
      </c>
      <c r="BF245" s="17">
        <f t="shared" si="707"/>
        <v>614693</v>
      </c>
      <c r="BG245" s="17">
        <f t="shared" ref="BG245:BH245" si="708">BG55+BG139+BG152+BG164+BG177+BG190+BG202+BG215+BG229</f>
        <v>0</v>
      </c>
      <c r="BH245" s="17">
        <f t="shared" si="708"/>
        <v>614693</v>
      </c>
    </row>
    <row r="246" spans="1:60">
      <c r="A246" s="16" t="s">
        <v>79</v>
      </c>
      <c r="B246" s="379" t="e">
        <f>B123+B137+B150+B163+B175+B188+B201+B213+B228+#REF!</f>
        <v>#REF!</v>
      </c>
      <c r="C246" s="379" t="e">
        <f>C123+C137+C150+C163+C175+C188+C201+C213+C228+#REF!</f>
        <v>#REF!</v>
      </c>
      <c r="D246" s="379" t="e">
        <f>D123+D137+D150+D163+D175+D188+D201+D213+D228+#REF!</f>
        <v>#REF!</v>
      </c>
      <c r="E246" s="379" t="e">
        <f>E123+E137+E150+E163+E175+E188+E201+E213+E228+#REF!</f>
        <v>#REF!</v>
      </c>
      <c r="F246" s="379" t="e">
        <f>F123+F137+F150+F163+F175+F188+F201+F213+F228+#REF!</f>
        <v>#REF!</v>
      </c>
      <c r="G246" s="379" t="e">
        <f>G123+G137+G150+G163+G175+G188+G201+G213+G228+#REF!</f>
        <v>#REF!</v>
      </c>
      <c r="H246" s="379" t="e">
        <f>H123+H137+H150+H163+H175+H188+H201+H213+H228+#REF!</f>
        <v>#REF!</v>
      </c>
      <c r="I246" s="379" t="e">
        <f>I123+I137+I150+I163+I175+I188+I201+I213+I228+#REF!</f>
        <v>#REF!</v>
      </c>
      <c r="J246" s="379" t="e">
        <f>J123+J137+J150+J163+J175+J188+J201+J213+J228+#REF!</f>
        <v>#REF!</v>
      </c>
      <c r="K246" s="379" t="e">
        <f>K123+K137+K150+K163+K175+K188+K201+K213+K228+#REF!</f>
        <v>#REF!</v>
      </c>
      <c r="L246" s="379" t="e">
        <f>L123+L137+L150+L163+L175+L188+L201+L213+L228+#REF!</f>
        <v>#REF!</v>
      </c>
      <c r="M246" s="379" t="e">
        <f>M123+M137+M150+M163+M175+M188+M201+M213+M228+#REF!</f>
        <v>#REF!</v>
      </c>
      <c r="N246" s="379" t="e">
        <f>N123+N137+N150+N163+N175+N188+N201+N213+N228+#REF!</f>
        <v>#REF!</v>
      </c>
      <c r="O246" s="379" t="e">
        <f>O123+O137+O150+O163+O175+O188+O201+O213+O228+#REF!</f>
        <v>#REF!</v>
      </c>
      <c r="P246" s="379">
        <f t="shared" ref="P246:V246" si="709">P123+P137+P150+P163+P175+P188+P201+P213+P228</f>
        <v>5407368</v>
      </c>
      <c r="Q246" s="379">
        <f t="shared" si="709"/>
        <v>24819</v>
      </c>
      <c r="R246" s="379">
        <f t="shared" si="709"/>
        <v>5432187</v>
      </c>
      <c r="S246" s="379">
        <f t="shared" si="709"/>
        <v>288387</v>
      </c>
      <c r="T246" s="379">
        <f t="shared" si="709"/>
        <v>5720574</v>
      </c>
      <c r="U246" s="379">
        <f t="shared" si="709"/>
        <v>32026</v>
      </c>
      <c r="V246" s="379">
        <f t="shared" si="709"/>
        <v>5752600</v>
      </c>
      <c r="W246" s="379">
        <f t="shared" ref="W246:X246" si="710">W123+W137+W150+W163+W175+W188+W201+W213+W228</f>
        <v>8373</v>
      </c>
      <c r="X246" s="379">
        <f t="shared" si="710"/>
        <v>5760973</v>
      </c>
      <c r="Y246" s="379">
        <f t="shared" ref="Y246:Z246" si="711">Y123+Y137+Y150+Y163+Y175+Y188+Y201+Y213+Y228</f>
        <v>16272</v>
      </c>
      <c r="Z246" s="379">
        <f t="shared" si="711"/>
        <v>5777245</v>
      </c>
      <c r="AA246" s="379">
        <f t="shared" ref="AA246:AB246" si="712">AA123+AA137+AA150+AA163+AA175+AA188+AA201+AA213+AA228</f>
        <v>-16174</v>
      </c>
      <c r="AB246" s="379">
        <f t="shared" si="712"/>
        <v>5761071</v>
      </c>
      <c r="AC246" s="379">
        <f t="shared" ref="AC246:AD246" si="713">AC123+AC137+AC150+AC163+AC175+AC188+AC201+AC213+AC228</f>
        <v>7910</v>
      </c>
      <c r="AD246" s="379">
        <f t="shared" si="713"/>
        <v>5768981</v>
      </c>
      <c r="AE246" s="379">
        <f t="shared" ref="AE246:AF246" si="714">AE123+AE137+AE150+AE163+AE175+AE188+AE201+AE213+AE228</f>
        <v>12884</v>
      </c>
      <c r="AF246" s="379">
        <f t="shared" si="714"/>
        <v>5781865</v>
      </c>
      <c r="AG246" s="379">
        <f t="shared" ref="AG246:AH246" si="715">AG123+AG137+AG150+AG163+AG175+AG188+AG201+AG213+AG228</f>
        <v>7490</v>
      </c>
      <c r="AH246" s="379">
        <f t="shared" si="715"/>
        <v>5789355</v>
      </c>
      <c r="AI246" s="379">
        <f t="shared" ref="AI246:AJ246" si="716">AI123+AI137+AI150+AI163+AI175+AI188+AI201+AI213+AI228</f>
        <v>4881576</v>
      </c>
      <c r="AJ246" s="379">
        <f t="shared" si="716"/>
        <v>28758</v>
      </c>
      <c r="AK246" s="379">
        <f t="shared" ref="AK246" si="717">AK123+AK137+AK150+AK163+AK175+AK188+AK201+AK213+AK228</f>
        <v>4910334</v>
      </c>
      <c r="AL246" s="16" t="s">
        <v>40</v>
      </c>
      <c r="AM246" s="17">
        <f>AM56+AM140+AM153+AM165+AM191+AM203+AM216+AM230+71419</f>
        <v>118818</v>
      </c>
      <c r="AN246" s="17" t="e">
        <f>AN56+AN140+AN153+AN165+AN191+AN203+AN216+AN230+'Célf.'!#REF!</f>
        <v>#REF!</v>
      </c>
      <c r="AO246" s="17" t="e">
        <f>AO56+AO140+AO153+AO165+AO191+AO203+AO216+AO230+'Célf.'!#REF!</f>
        <v>#REF!</v>
      </c>
      <c r="AP246" s="17" t="e">
        <f>AP56+AP140+AP153+AP165+AP191+AP203+AP216+AP230+'Célf.'!#REF!</f>
        <v>#REF!</v>
      </c>
      <c r="AQ246" s="17" t="e">
        <f>AQ56+AQ140+AQ153+AQ165+AQ191+AQ203+AQ216+AQ230+'Célf.'!#REF!</f>
        <v>#REF!</v>
      </c>
      <c r="AR246" s="17" t="e">
        <f>AR56+AR140+AR153+AR165+AR191+AR203+AR216+AR230+'Célf.'!#REF!</f>
        <v>#REF!</v>
      </c>
      <c r="AS246" s="17" t="e">
        <f>AS56+AS140+AS153+AS165+AS191+AS203+AS216+AS230+'Célf.'!#REF!</f>
        <v>#REF!</v>
      </c>
      <c r="AT246" s="17" t="e">
        <f>AT56+AT140+AT153+AT165+AT191+AT203+AT216+AT230+'Célf.'!#REF!</f>
        <v>#REF!</v>
      </c>
      <c r="AU246" s="17" t="e">
        <f>AU56+AU140+AU153+AU165+AU191+AU203+AU216+AU230+'Célf.'!#REF!</f>
        <v>#REF!</v>
      </c>
      <c r="AV246" s="17">
        <f>AV56+AV140+AV153+AV165+AV191+AV203+AV216+AV230+'Célf.'!F15</f>
        <v>-850</v>
      </c>
      <c r="AW246" s="17">
        <f>AW56+AW140+AW153+AW165+AW191+AW203+AW216+AW230+'Célf.'!G15</f>
        <v>25052</v>
      </c>
      <c r="AX246" s="17">
        <f>AX56+AX140+AX153+AX165+AX191+AX203+AX216+AX230+'Célf.'!H15</f>
        <v>0</v>
      </c>
      <c r="AY246" s="17">
        <f>AY56+AY140+AY153+AY165+AY191+AY203+AY216+AY230+'Célf.'!I15</f>
        <v>25052</v>
      </c>
      <c r="AZ246" s="17">
        <f>AZ56+AZ140+AZ153+AZ165+AZ191+AZ203+AZ216+AZ230+'Célf.'!J15</f>
        <v>0</v>
      </c>
      <c r="BA246" s="17">
        <f>BA56+BA140+BA153+BA165+BA191+BA203+BA216+BA230+'Célf.'!K15</f>
        <v>25052</v>
      </c>
      <c r="BB246" s="17">
        <f>BB56+BB140+BB153+BB165+BB191+BB203+BB216+BB230+'Célf.'!L15</f>
        <v>0</v>
      </c>
      <c r="BC246" s="17">
        <f>BC56+BC140+BC153+BC165+BC191+BC203+BC216+BC230+'Célf.'!M15</f>
        <v>25052</v>
      </c>
      <c r="BD246" s="17">
        <f>BD56+BD140+BD153+BD165+BD191+BD203+BD216+BD230+'Célf.'!N15</f>
        <v>-15934</v>
      </c>
      <c r="BE246" s="17">
        <f>BE56+BE140+BE153+BE165+BE191+BE203+BE216+BE230+'Célf.'!O15</f>
        <v>46669</v>
      </c>
      <c r="BF246" s="17">
        <f>BF56+BF140+BF153+BF165+BF191+BF203+BF216+BF230+'Célf.'!P15</f>
        <v>321110</v>
      </c>
      <c r="BG246" s="17">
        <f>BG56+BG140+BG153+BG165+BG191+BG203+BG216+BG230+'Célf.'!Q15</f>
        <v>150</v>
      </c>
      <c r="BH246" s="17">
        <f>BH56+BH140+BH153+BH165+BH191+BH203+BH216+BH230+'Célf.'!R15</f>
        <v>321260</v>
      </c>
    </row>
    <row r="247" spans="1:60">
      <c r="A247" s="12" t="s">
        <v>93</v>
      </c>
      <c r="B247" s="379" t="e">
        <f>B126+B138+B151+B164+B176+B189+B202+B214+B229+#REF!</f>
        <v>#REF!</v>
      </c>
      <c r="C247" s="379" t="e">
        <f>C126+C138+C151+C164+C176+C189+C202+C214+C229+#REF!</f>
        <v>#REF!</v>
      </c>
      <c r="D247" s="379" t="e">
        <f>D126+D138+D151+D164+D176+D189+D202+D214+D229+#REF!</f>
        <v>#REF!</v>
      </c>
      <c r="E247" s="379" t="e">
        <f>E126+E138+E151+E164+E176+E189+E202+E214+E229+#REF!</f>
        <v>#REF!</v>
      </c>
      <c r="F247" s="379" t="e">
        <f>F126+F138+F151+F164+F176+F189+F202+F214+F229+#REF!</f>
        <v>#REF!</v>
      </c>
      <c r="G247" s="379" t="e">
        <f>G126+G138+G151+G164+G176+G189+G202+G214+G229+#REF!</f>
        <v>#REF!</v>
      </c>
      <c r="H247" s="379" t="e">
        <f>H126+H138+H151+H164+H176+H189+H202+H214+H229+#REF!</f>
        <v>#REF!</v>
      </c>
      <c r="I247" s="379" t="e">
        <f>I126+I138+I151+I164+I176+I189+I202+I214+I229+#REF!</f>
        <v>#REF!</v>
      </c>
      <c r="J247" s="379" t="e">
        <f>J126+J138+J151+J164+J176+J189+J202+J214+J229+#REF!</f>
        <v>#REF!</v>
      </c>
      <c r="K247" s="379" t="e">
        <f>K126+K138+K151+K164+K176+K189+K202+K214+K229+#REF!</f>
        <v>#REF!</v>
      </c>
      <c r="L247" s="379" t="e">
        <f>L126+L138+L151+L164+L176+L189+L202+L214+L229+#REF!</f>
        <v>#REF!</v>
      </c>
      <c r="M247" s="379" t="e">
        <f>M126+M138+M151+M164+M176+M189+M202+M214+M229+#REF!</f>
        <v>#REF!</v>
      </c>
      <c r="N247" s="379" t="e">
        <f>N126+N138+N151+N164+N176+N189+N202+N214+N229+#REF!</f>
        <v>#REF!</v>
      </c>
      <c r="O247" s="379" t="e">
        <f>O126+O138+O151+O164+O176+O189+O202+O214+O229+#REF!</f>
        <v>#REF!</v>
      </c>
      <c r="P247" s="379">
        <f t="shared" ref="P247:V247" si="718">P126+P138+P151+P164+P176+P189+P202+P214+P229</f>
        <v>3160878</v>
      </c>
      <c r="Q247" s="379">
        <f t="shared" si="718"/>
        <v>0</v>
      </c>
      <c r="R247" s="379">
        <f t="shared" si="718"/>
        <v>3160878</v>
      </c>
      <c r="S247" s="379">
        <f t="shared" si="718"/>
        <v>275144</v>
      </c>
      <c r="T247" s="379">
        <f t="shared" si="718"/>
        <v>3436022</v>
      </c>
      <c r="U247" s="379">
        <f t="shared" si="718"/>
        <v>0</v>
      </c>
      <c r="V247" s="379">
        <f t="shared" si="718"/>
        <v>3436022</v>
      </c>
      <c r="W247" s="379">
        <f t="shared" ref="W247:X247" si="719">W126+W138+W151+W164+W176+W189+W202+W214+W229</f>
        <v>0</v>
      </c>
      <c r="X247" s="379">
        <f t="shared" si="719"/>
        <v>3436022</v>
      </c>
      <c r="Y247" s="379">
        <f t="shared" ref="Y247:Z247" si="720">Y126+Y138+Y151+Y164+Y176+Y189+Y202+Y214+Y229</f>
        <v>0</v>
      </c>
      <c r="Z247" s="379">
        <f t="shared" si="720"/>
        <v>3436022</v>
      </c>
      <c r="AA247" s="379">
        <f t="shared" ref="AA247:AB247" si="721">AA126+AA138+AA151+AA164+AA176+AA189+AA202+AA214+AA229</f>
        <v>0</v>
      </c>
      <c r="AB247" s="379">
        <f t="shared" si="721"/>
        <v>3436022</v>
      </c>
      <c r="AC247" s="379">
        <f t="shared" ref="AC247:AD247" si="722">AC126+AC138+AC151+AC164+AC176+AC189+AC202+AC214+AC229</f>
        <v>0</v>
      </c>
      <c r="AD247" s="379">
        <f t="shared" si="722"/>
        <v>3436022</v>
      </c>
      <c r="AE247" s="379">
        <f t="shared" ref="AE247:AF247" si="723">AE126+AE138+AE151+AE164+AE176+AE189+AE202+AE214+AE229</f>
        <v>0</v>
      </c>
      <c r="AF247" s="379">
        <f t="shared" si="723"/>
        <v>3436022</v>
      </c>
      <c r="AG247" s="379">
        <f t="shared" ref="AG247:AH247" si="724">AG126+AG138+AG151+AG164+AG176+AG189+AG202+AG214+AG229</f>
        <v>0</v>
      </c>
      <c r="AH247" s="379">
        <f t="shared" si="724"/>
        <v>3436022</v>
      </c>
      <c r="AI247" s="379">
        <f t="shared" ref="AI247:AJ247" si="725">AI126+AI138+AI151+AI164+AI176+AI189+AI202+AI214+AI229</f>
        <v>2517000</v>
      </c>
      <c r="AJ247" s="379">
        <f t="shared" si="725"/>
        <v>0</v>
      </c>
      <c r="AK247" s="379">
        <f t="shared" ref="AK247" si="726">AK126+AK138+AK151+AK164+AK176+AK189+AK202+AK214+AK229</f>
        <v>2517000</v>
      </c>
      <c r="AL247" s="16" t="s">
        <v>80</v>
      </c>
      <c r="AM247" s="17">
        <f>AM123</f>
        <v>2301142</v>
      </c>
      <c r="AN247" s="17">
        <f t="shared" ref="AN247:AO247" si="727">AN123</f>
        <v>24819</v>
      </c>
      <c r="AO247" s="17">
        <f t="shared" si="727"/>
        <v>2325961</v>
      </c>
      <c r="AP247" s="17">
        <f t="shared" ref="AP247:AQ247" si="728">AP123</f>
        <v>13243</v>
      </c>
      <c r="AQ247" s="17">
        <f t="shared" si="728"/>
        <v>2339204</v>
      </c>
      <c r="AR247" s="17">
        <f t="shared" ref="AR247:AS247" si="729">AR123</f>
        <v>32026</v>
      </c>
      <c r="AS247" s="17">
        <f t="shared" si="729"/>
        <v>2371230</v>
      </c>
      <c r="AT247" s="17">
        <f t="shared" ref="AT247:AU247" si="730">AT123</f>
        <v>8373</v>
      </c>
      <c r="AU247" s="17">
        <f t="shared" si="730"/>
        <v>2379603</v>
      </c>
      <c r="AV247" s="17">
        <f t="shared" ref="AV247:AW247" si="731">AV123</f>
        <v>16272</v>
      </c>
      <c r="AW247" s="17">
        <f t="shared" si="731"/>
        <v>2395875</v>
      </c>
      <c r="AX247" s="17">
        <f t="shared" ref="AX247:AY247" si="732">AX123</f>
        <v>-16174</v>
      </c>
      <c r="AY247" s="17">
        <f t="shared" si="732"/>
        <v>2379701</v>
      </c>
      <c r="AZ247" s="17">
        <f t="shared" ref="AZ247:BA247" si="733">AZ123</f>
        <v>7910</v>
      </c>
      <c r="BA247" s="17">
        <f t="shared" si="733"/>
        <v>2387611</v>
      </c>
      <c r="BB247" s="17">
        <f t="shared" ref="BB247" si="734">BB123</f>
        <v>12884</v>
      </c>
      <c r="BC247" s="17">
        <f t="shared" ref="BC247:BD247" si="735">BC123</f>
        <v>2400495</v>
      </c>
      <c r="BD247" s="17">
        <f t="shared" si="735"/>
        <v>7490</v>
      </c>
      <c r="BE247" s="17">
        <f t="shared" ref="BE247:BF247" si="736">BE123</f>
        <v>2407985</v>
      </c>
      <c r="BF247" s="17">
        <f t="shared" si="736"/>
        <v>2434768</v>
      </c>
      <c r="BG247" s="17">
        <f t="shared" ref="BG247:BH247" si="737">BG123</f>
        <v>28758</v>
      </c>
      <c r="BH247" s="17">
        <f t="shared" si="737"/>
        <v>2463526</v>
      </c>
    </row>
    <row r="248" spans="1:60" ht="30">
      <c r="A248" s="25" t="s">
        <v>95</v>
      </c>
      <c r="B248" s="379" t="e">
        <f>+B139+B152+B165+B177+B190+B203+B215+B230+#REF!</f>
        <v>#REF!</v>
      </c>
      <c r="C248" s="379" t="e">
        <f>+C139+C152+C165+C177+C190+C203+C215+C230+#REF!</f>
        <v>#REF!</v>
      </c>
      <c r="D248" s="379" t="e">
        <f>+D139+D152+D165+D177+D190+D203+D215+D230+#REF!</f>
        <v>#REF!</v>
      </c>
      <c r="E248" s="379" t="e">
        <f>+E139+E152+E165+E177+E190+E203+E215+E230+#REF!</f>
        <v>#REF!</v>
      </c>
      <c r="F248" s="379" t="e">
        <f>+F139+F152+F165+F177+F190+F203+F215+F230+#REF!</f>
        <v>#REF!</v>
      </c>
      <c r="G248" s="379" t="e">
        <f>+G139+G152+G165+G177+G190+G203+G215+G230+#REF!</f>
        <v>#REF!</v>
      </c>
      <c r="H248" s="379" t="e">
        <f>+H139+H152+H165+H177+H190+H203+H215+H230+#REF!</f>
        <v>#REF!</v>
      </c>
      <c r="I248" s="379" t="e">
        <f>+I139+I152+I165+I177+I190+I203+I215+I230+#REF!</f>
        <v>#REF!</v>
      </c>
      <c r="J248" s="379" t="e">
        <f>+J139+J152+J165+J177+J190+J203+J215+J230+#REF!</f>
        <v>#REF!</v>
      </c>
      <c r="K248" s="379" t="e">
        <f>+K139+K152+K165+K177+K190+K203+K215+K230+#REF!</f>
        <v>#REF!</v>
      </c>
      <c r="L248" s="379" t="e">
        <f>+L139+L152+L165+L177+L190+L203+L215+L230+#REF!</f>
        <v>#REF!</v>
      </c>
      <c r="M248" s="379" t="e">
        <f>+M139+M152+M165+M177+M190+M203+M215+M230+#REF!</f>
        <v>#REF!</v>
      </c>
      <c r="N248" s="379" t="e">
        <f>+N139+N152+N165+N177+N190+N203+N215+N230+#REF!</f>
        <v>#REF!</v>
      </c>
      <c r="O248" s="379" t="e">
        <f>+O139+O152+O165+O177+O190+O203+O215+O230+#REF!</f>
        <v>#REF!</v>
      </c>
      <c r="P248" s="379">
        <f t="shared" ref="P248:V248" si="738">+P139+P152+P165+P177+P190+P203+P215+P230</f>
        <v>2246490</v>
      </c>
      <c r="Q248" s="379">
        <f t="shared" si="738"/>
        <v>24819</v>
      </c>
      <c r="R248" s="379">
        <f t="shared" si="738"/>
        <v>2271309</v>
      </c>
      <c r="S248" s="379">
        <f t="shared" si="738"/>
        <v>13243</v>
      </c>
      <c r="T248" s="379">
        <f t="shared" si="738"/>
        <v>2284552</v>
      </c>
      <c r="U248" s="379">
        <f t="shared" si="738"/>
        <v>32026</v>
      </c>
      <c r="V248" s="379">
        <f t="shared" si="738"/>
        <v>2316578</v>
      </c>
      <c r="W248" s="379">
        <f t="shared" ref="W248:X248" si="739">+W139+W152+W165+W177+W190+W203+W215+W230</f>
        <v>8373</v>
      </c>
      <c r="X248" s="379">
        <f t="shared" si="739"/>
        <v>2324951</v>
      </c>
      <c r="Y248" s="379">
        <f t="shared" ref="Y248:Z248" si="740">+Y139+Y152+Y165+Y177+Y190+Y203+Y215+Y230</f>
        <v>16272</v>
      </c>
      <c r="Z248" s="379">
        <f t="shared" si="740"/>
        <v>2341223</v>
      </c>
      <c r="AA248" s="379">
        <f t="shared" ref="AA248:AB248" si="741">+AA139+AA152+AA165+AA177+AA190+AA203+AA215+AA230</f>
        <v>-16174</v>
      </c>
      <c r="AB248" s="379">
        <f t="shared" si="741"/>
        <v>2325049</v>
      </c>
      <c r="AC248" s="379">
        <f t="shared" ref="AC248:AD248" si="742">+AC139+AC152+AC165+AC177+AC190+AC203+AC215+AC230</f>
        <v>7910</v>
      </c>
      <c r="AD248" s="379">
        <f t="shared" si="742"/>
        <v>2332959</v>
      </c>
      <c r="AE248" s="379">
        <f t="shared" ref="AE248:AF248" si="743">+AE139+AE152+AE165+AE177+AE190+AE203+AE215+AE230</f>
        <v>12884</v>
      </c>
      <c r="AF248" s="379">
        <f t="shared" si="743"/>
        <v>2345843</v>
      </c>
      <c r="AG248" s="379">
        <f t="shared" ref="AG248:AH248" si="744">+AG139+AG152+AG165+AG177+AG190+AG203+AG215+AG230</f>
        <v>7490</v>
      </c>
      <c r="AH248" s="379">
        <f t="shared" si="744"/>
        <v>2353333</v>
      </c>
      <c r="AI248" s="379">
        <f t="shared" ref="AI248:AJ248" si="745">+AI139+AI152+AI165+AI177+AI190+AI203+AI215+AI230</f>
        <v>2364576</v>
      </c>
      <c r="AJ248" s="379">
        <f t="shared" si="745"/>
        <v>28758</v>
      </c>
      <c r="AK248" s="379">
        <f t="shared" ref="AK248" si="746">+AK139+AK152+AK165+AK177+AK190+AK203+AK215+AK230</f>
        <v>2393334</v>
      </c>
      <c r="AL248" s="12" t="s">
        <v>554</v>
      </c>
      <c r="AM248" s="17">
        <f t="shared" ref="AM248:AS248" si="747">AM126</f>
        <v>54652</v>
      </c>
      <c r="AN248" s="17">
        <f t="shared" si="747"/>
        <v>0</v>
      </c>
      <c r="AO248" s="17">
        <f t="shared" si="747"/>
        <v>54652</v>
      </c>
      <c r="AP248" s="17">
        <f t="shared" si="747"/>
        <v>0</v>
      </c>
      <c r="AQ248" s="17">
        <f t="shared" si="747"/>
        <v>54652</v>
      </c>
      <c r="AR248" s="17">
        <f t="shared" si="747"/>
        <v>0</v>
      </c>
      <c r="AS248" s="17">
        <f t="shared" si="747"/>
        <v>54652</v>
      </c>
      <c r="AT248" s="17">
        <f t="shared" ref="AT248:AU248" si="748">AT126</f>
        <v>0</v>
      </c>
      <c r="AU248" s="17">
        <f t="shared" si="748"/>
        <v>54652</v>
      </c>
      <c r="AV248" s="17">
        <f t="shared" ref="AV248:AW248" si="749">AV126</f>
        <v>0</v>
      </c>
      <c r="AW248" s="17">
        <f t="shared" si="749"/>
        <v>54652</v>
      </c>
      <c r="AX248" s="17">
        <f t="shared" ref="AX248:AY248" si="750">AX126</f>
        <v>0</v>
      </c>
      <c r="AY248" s="17">
        <f t="shared" si="750"/>
        <v>54652</v>
      </c>
      <c r="AZ248" s="17">
        <f t="shared" ref="AZ248:BA248" si="751">AZ126</f>
        <v>0</v>
      </c>
      <c r="BA248" s="17">
        <f t="shared" si="751"/>
        <v>54652</v>
      </c>
      <c r="BB248" s="17">
        <f t="shared" ref="BB248" si="752">BB126</f>
        <v>0</v>
      </c>
      <c r="BC248" s="17">
        <f t="shared" ref="BC248:BD248" si="753">BC126</f>
        <v>54652</v>
      </c>
      <c r="BD248" s="17">
        <f t="shared" si="753"/>
        <v>0</v>
      </c>
      <c r="BE248" s="17">
        <f t="shared" ref="BE248:BF248" si="754">BE126</f>
        <v>54652</v>
      </c>
      <c r="BF248" s="17">
        <f t="shared" si="754"/>
        <v>70192</v>
      </c>
      <c r="BG248" s="17">
        <f t="shared" ref="BG248:BH248" si="755">BG126</f>
        <v>0</v>
      </c>
      <c r="BH248" s="17">
        <f t="shared" si="755"/>
        <v>70192</v>
      </c>
    </row>
    <row r="249" spans="1:60" ht="30">
      <c r="A249" s="25"/>
      <c r="B249" s="379"/>
      <c r="C249" s="379"/>
      <c r="D249" s="379"/>
      <c r="E249" s="379"/>
      <c r="F249" s="379"/>
      <c r="G249" s="379"/>
      <c r="H249" s="379"/>
      <c r="I249" s="379"/>
      <c r="J249" s="379"/>
      <c r="K249" s="379"/>
      <c r="L249" s="379"/>
      <c r="M249" s="379"/>
      <c r="N249" s="379"/>
      <c r="O249" s="379"/>
      <c r="P249" s="379"/>
      <c r="Q249" s="379"/>
      <c r="R249" s="379"/>
      <c r="S249" s="379"/>
      <c r="T249" s="379"/>
      <c r="U249" s="379"/>
      <c r="V249" s="379"/>
      <c r="W249" s="379"/>
      <c r="X249" s="379"/>
      <c r="Y249" s="379"/>
      <c r="Z249" s="379"/>
      <c r="AA249" s="379"/>
      <c r="AB249" s="379"/>
      <c r="AC249" s="379"/>
      <c r="AD249" s="379"/>
      <c r="AE249" s="379"/>
      <c r="AF249" s="379"/>
      <c r="AG249" s="379"/>
      <c r="AH249" s="379"/>
      <c r="AI249" s="379"/>
      <c r="AJ249" s="379"/>
      <c r="AK249" s="379"/>
      <c r="AL249" s="12" t="s">
        <v>555</v>
      </c>
      <c r="AM249" s="18">
        <f>P248</f>
        <v>2246490</v>
      </c>
      <c r="AN249" s="18">
        <f>Q248</f>
        <v>24819</v>
      </c>
      <c r="AO249" s="18">
        <f>R248</f>
        <v>2271309</v>
      </c>
      <c r="AP249" s="18">
        <f>S248</f>
        <v>13243</v>
      </c>
      <c r="AQ249" s="18">
        <f>T248</f>
        <v>2284552</v>
      </c>
      <c r="AR249" s="18">
        <f t="shared" ref="AR249" si="756">U248</f>
        <v>32026</v>
      </c>
      <c r="AS249" s="18">
        <f t="shared" ref="AS249:BH249" si="757">V248</f>
        <v>2316578</v>
      </c>
      <c r="AT249" s="18">
        <f t="shared" si="757"/>
        <v>8373</v>
      </c>
      <c r="AU249" s="18">
        <f t="shared" si="757"/>
        <v>2324951</v>
      </c>
      <c r="AV249" s="18">
        <f t="shared" si="757"/>
        <v>16272</v>
      </c>
      <c r="AW249" s="18">
        <f t="shared" si="757"/>
        <v>2341223</v>
      </c>
      <c r="AX249" s="18">
        <f t="shared" si="757"/>
        <v>-16174</v>
      </c>
      <c r="AY249" s="18">
        <f t="shared" si="757"/>
        <v>2325049</v>
      </c>
      <c r="AZ249" s="18">
        <f t="shared" si="757"/>
        <v>7910</v>
      </c>
      <c r="BA249" s="18">
        <f t="shared" si="757"/>
        <v>2332959</v>
      </c>
      <c r="BB249" s="18">
        <f t="shared" si="757"/>
        <v>12884</v>
      </c>
      <c r="BC249" s="18">
        <f t="shared" si="757"/>
        <v>2345843</v>
      </c>
      <c r="BD249" s="18">
        <f t="shared" si="757"/>
        <v>7490</v>
      </c>
      <c r="BE249" s="18">
        <f t="shared" si="757"/>
        <v>2353333</v>
      </c>
      <c r="BF249" s="18">
        <f t="shared" si="757"/>
        <v>2364576</v>
      </c>
      <c r="BG249" s="18">
        <f t="shared" si="757"/>
        <v>28758</v>
      </c>
      <c r="BH249" s="18">
        <f t="shared" si="757"/>
        <v>2393334</v>
      </c>
    </row>
    <row r="250" spans="1:60" s="44" customFormat="1" ht="14.25">
      <c r="A250" s="26" t="s">
        <v>108</v>
      </c>
      <c r="B250" s="21" t="e">
        <f t="shared" ref="B250:P250" si="758">SUM(B239:B246)</f>
        <v>#REF!</v>
      </c>
      <c r="C250" s="21" t="e">
        <f t="shared" si="758"/>
        <v>#REF!</v>
      </c>
      <c r="D250" s="21" t="e">
        <f t="shared" si="758"/>
        <v>#REF!</v>
      </c>
      <c r="E250" s="21" t="e">
        <f t="shared" si="758"/>
        <v>#REF!</v>
      </c>
      <c r="F250" s="21" t="e">
        <f t="shared" si="758"/>
        <v>#REF!</v>
      </c>
      <c r="G250" s="21" t="e">
        <f t="shared" si="758"/>
        <v>#REF!</v>
      </c>
      <c r="H250" s="21" t="e">
        <f t="shared" si="758"/>
        <v>#REF!</v>
      </c>
      <c r="I250" s="21" t="e">
        <f t="shared" si="758"/>
        <v>#REF!</v>
      </c>
      <c r="J250" s="21" t="e">
        <f t="shared" si="758"/>
        <v>#REF!</v>
      </c>
      <c r="K250" s="21" t="e">
        <f t="shared" si="758"/>
        <v>#REF!</v>
      </c>
      <c r="L250" s="21" t="e">
        <f t="shared" si="758"/>
        <v>#REF!</v>
      </c>
      <c r="M250" s="21" t="e">
        <f t="shared" si="758"/>
        <v>#REF!</v>
      </c>
      <c r="N250" s="21" t="e">
        <f t="shared" si="758"/>
        <v>#REF!</v>
      </c>
      <c r="O250" s="21" t="e">
        <f t="shared" si="758"/>
        <v>#REF!</v>
      </c>
      <c r="P250" s="21">
        <f t="shared" si="758"/>
        <v>12241520.99</v>
      </c>
      <c r="Q250" s="21">
        <f t="shared" ref="Q250:R250" si="759">SUM(Q239:Q246)</f>
        <v>52822</v>
      </c>
      <c r="R250" s="21">
        <f t="shared" si="759"/>
        <v>12294342.99</v>
      </c>
      <c r="S250" s="21">
        <f t="shared" ref="S250:T250" si="760">SUM(S239:S246)</f>
        <v>342898</v>
      </c>
      <c r="T250" s="21">
        <f t="shared" si="760"/>
        <v>12637240.99</v>
      </c>
      <c r="U250" s="21">
        <f t="shared" ref="U250:V250" si="761">SUM(U239:U246)</f>
        <v>56839</v>
      </c>
      <c r="V250" s="21">
        <f t="shared" si="761"/>
        <v>12694079.99</v>
      </c>
      <c r="W250" s="21">
        <f t="shared" ref="W250:X250" si="762">SUM(W239:W246)</f>
        <v>378995</v>
      </c>
      <c r="X250" s="21">
        <f t="shared" si="762"/>
        <v>13073074.99</v>
      </c>
      <c r="Y250" s="21">
        <f t="shared" ref="Y250:Z250" si="763">SUM(Y239:Y246)</f>
        <v>203198</v>
      </c>
      <c r="Z250" s="21">
        <f t="shared" si="763"/>
        <v>13276272.99</v>
      </c>
      <c r="AA250" s="21">
        <f t="shared" ref="AA250:AB250" si="764">SUM(AA239:AA246)</f>
        <v>16943</v>
      </c>
      <c r="AB250" s="21">
        <f t="shared" si="764"/>
        <v>13293215.99</v>
      </c>
      <c r="AC250" s="21">
        <f t="shared" ref="AC250:AD250" si="765">SUM(AC239:AC246)</f>
        <v>399628</v>
      </c>
      <c r="AD250" s="21">
        <f t="shared" si="765"/>
        <v>13692843.99</v>
      </c>
      <c r="AE250" s="21">
        <f t="shared" ref="AE250:AF250" si="766">SUM(AE239:AE246)</f>
        <v>35452</v>
      </c>
      <c r="AF250" s="21">
        <f t="shared" si="766"/>
        <v>13728295.99</v>
      </c>
      <c r="AG250" s="21">
        <f t="shared" ref="AG250:AI250" si="767">SUM(AG239:AG246)</f>
        <v>-9300</v>
      </c>
      <c r="AH250" s="21">
        <f t="shared" si="767"/>
        <v>13718995.99</v>
      </c>
      <c r="AI250" s="21">
        <f t="shared" si="767"/>
        <v>10867616</v>
      </c>
      <c r="AJ250" s="21">
        <f t="shared" ref="AJ250:AK250" si="768">SUM(AJ239:AJ246)</f>
        <v>106246</v>
      </c>
      <c r="AK250" s="21">
        <f t="shared" si="768"/>
        <v>10973862</v>
      </c>
      <c r="AL250" s="26" t="s">
        <v>109</v>
      </c>
      <c r="AM250" s="410">
        <f t="shared" ref="AM250:AS250" si="769">SUM(AM239:AM247)</f>
        <v>12241521</v>
      </c>
      <c r="AN250" s="410" t="e">
        <f t="shared" si="769"/>
        <v>#REF!</v>
      </c>
      <c r="AO250" s="410" t="e">
        <f t="shared" si="769"/>
        <v>#REF!</v>
      </c>
      <c r="AP250" s="410" t="e">
        <f t="shared" si="769"/>
        <v>#REF!</v>
      </c>
      <c r="AQ250" s="410" t="e">
        <f t="shared" si="769"/>
        <v>#REF!</v>
      </c>
      <c r="AR250" s="410" t="e">
        <f t="shared" si="769"/>
        <v>#REF!</v>
      </c>
      <c r="AS250" s="410" t="e">
        <f t="shared" si="769"/>
        <v>#REF!</v>
      </c>
      <c r="AT250" s="410" t="e">
        <f t="shared" ref="AT250:AU250" si="770">SUM(AT239:AT247)</f>
        <v>#REF!</v>
      </c>
      <c r="AU250" s="410" t="e">
        <f t="shared" si="770"/>
        <v>#REF!</v>
      </c>
      <c r="AV250" s="410" t="e">
        <f t="shared" ref="AV250:AW250" si="771">SUM(AV239:AV247)</f>
        <v>#REF!</v>
      </c>
      <c r="AW250" s="410" t="e">
        <f t="shared" si="771"/>
        <v>#REF!</v>
      </c>
      <c r="AX250" s="410" t="e">
        <f t="shared" ref="AX250:AY250" si="772">SUM(AX239:AX247)</f>
        <v>#REF!</v>
      </c>
      <c r="AY250" s="410" t="e">
        <f t="shared" si="772"/>
        <v>#REF!</v>
      </c>
      <c r="AZ250" s="410" t="e">
        <f t="shared" ref="AZ250:BA250" si="773">SUM(AZ239:AZ247)</f>
        <v>#REF!</v>
      </c>
      <c r="BA250" s="410" t="e">
        <f t="shared" si="773"/>
        <v>#REF!</v>
      </c>
      <c r="BB250" s="410" t="e">
        <f t="shared" ref="BB250" si="774">SUM(BB239:BB247)</f>
        <v>#REF!</v>
      </c>
      <c r="BC250" s="410" t="e">
        <f t="shared" ref="BC250:BD250" si="775">SUM(BC239:BC247)</f>
        <v>#REF!</v>
      </c>
      <c r="BD250" s="410" t="e">
        <f t="shared" si="775"/>
        <v>#REF!</v>
      </c>
      <c r="BE250" s="410" t="e">
        <f t="shared" ref="BE250:BF250" si="776">SUM(BE239:BE247)</f>
        <v>#REF!</v>
      </c>
      <c r="BF250" s="410">
        <f t="shared" si="776"/>
        <v>10867616</v>
      </c>
      <c r="BG250" s="410">
        <f t="shared" ref="BG250:BH250" si="777">SUM(BG239:BG247)</f>
        <v>106246</v>
      </c>
      <c r="BH250" s="410">
        <f t="shared" si="777"/>
        <v>10973862</v>
      </c>
    </row>
    <row r="251" spans="1:60" s="44" customFormat="1" ht="14.25">
      <c r="A251" s="26"/>
      <c r="B251" s="21"/>
      <c r="C251" s="21"/>
      <c r="D251" s="21"/>
      <c r="E251" s="21"/>
      <c r="F251" s="21"/>
      <c r="G251" s="21"/>
      <c r="H251" s="21"/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  <c r="AC251" s="21"/>
      <c r="AD251" s="21"/>
      <c r="AE251" s="21"/>
      <c r="AF251" s="21"/>
      <c r="AG251" s="21"/>
      <c r="AH251" s="21"/>
      <c r="AI251" s="21"/>
      <c r="AJ251" s="21"/>
      <c r="AK251" s="21"/>
      <c r="AL251" s="26"/>
      <c r="AM251" s="410"/>
      <c r="AN251" s="410"/>
      <c r="AO251" s="410"/>
      <c r="AP251" s="410"/>
      <c r="AQ251" s="410"/>
      <c r="AR251" s="410"/>
      <c r="AS251" s="410"/>
      <c r="AT251" s="410"/>
      <c r="AU251" s="410"/>
      <c r="AV251" s="410"/>
      <c r="AW251" s="410"/>
      <c r="AX251" s="410"/>
      <c r="AY251" s="410"/>
      <c r="AZ251" s="410"/>
      <c r="BA251" s="410"/>
      <c r="BB251" s="410"/>
      <c r="BC251" s="410"/>
      <c r="BD251" s="410"/>
      <c r="BE251" s="410"/>
      <c r="BF251" s="410"/>
      <c r="BG251" s="410"/>
      <c r="BH251" s="410"/>
    </row>
    <row r="252" spans="1:60" s="44" customFormat="1">
      <c r="A252" s="12" t="s">
        <v>110</v>
      </c>
      <c r="B252" s="379" t="e">
        <f t="shared" ref="B252:P252" si="778">B239+B241+B242+B244+B246-B258</f>
        <v>#REF!</v>
      </c>
      <c r="C252" s="379" t="e">
        <f t="shared" si="778"/>
        <v>#REF!</v>
      </c>
      <c r="D252" s="379" t="e">
        <f t="shared" si="778"/>
        <v>#REF!</v>
      </c>
      <c r="E252" s="379" t="e">
        <f t="shared" si="778"/>
        <v>#REF!</v>
      </c>
      <c r="F252" s="379" t="e">
        <f t="shared" si="778"/>
        <v>#REF!</v>
      </c>
      <c r="G252" s="379" t="e">
        <f t="shared" si="778"/>
        <v>#REF!</v>
      </c>
      <c r="H252" s="379" t="e">
        <f t="shared" si="778"/>
        <v>#REF!</v>
      </c>
      <c r="I252" s="379" t="e">
        <f t="shared" si="778"/>
        <v>#REF!</v>
      </c>
      <c r="J252" s="379" t="e">
        <f t="shared" si="778"/>
        <v>#REF!</v>
      </c>
      <c r="K252" s="379" t="e">
        <f t="shared" si="778"/>
        <v>#REF!</v>
      </c>
      <c r="L252" s="379" t="e">
        <f t="shared" si="778"/>
        <v>#REF!</v>
      </c>
      <c r="M252" s="379" t="e">
        <f t="shared" si="778"/>
        <v>#REF!</v>
      </c>
      <c r="N252" s="379" t="e">
        <f t="shared" si="778"/>
        <v>#REF!</v>
      </c>
      <c r="O252" s="379" t="e">
        <f t="shared" si="778"/>
        <v>#REF!</v>
      </c>
      <c r="P252" s="379">
        <f t="shared" si="778"/>
        <v>8351946.9900000002</v>
      </c>
      <c r="Q252" s="379">
        <f t="shared" ref="Q252:R252" si="779">Q239+Q241+Q242+Q244+Q246-Q258</f>
        <v>52822</v>
      </c>
      <c r="R252" s="379">
        <f t="shared" si="779"/>
        <v>8404768.9900000002</v>
      </c>
      <c r="S252" s="379">
        <f t="shared" ref="S252:T252" si="780">S239+S241+S242+S244+S246-S258</f>
        <v>210873</v>
      </c>
      <c r="T252" s="379">
        <f t="shared" si="780"/>
        <v>8615641.9900000002</v>
      </c>
      <c r="U252" s="379">
        <f t="shared" ref="U252" si="781">U239+U241+U242+U244+U246-U258</f>
        <v>56469</v>
      </c>
      <c r="V252" s="379">
        <f>V239+V241+V242+V244+V246-V258</f>
        <v>8672110.9900000002</v>
      </c>
      <c r="W252" s="379">
        <f>W239+W241+W242+W244+W246-W258</f>
        <v>238009</v>
      </c>
      <c r="X252" s="379">
        <f t="shared" ref="X252:Y252" si="782">X239+X241+X242+X244+X246-X258</f>
        <v>8910119.9900000002</v>
      </c>
      <c r="Y252" s="379">
        <f t="shared" si="782"/>
        <v>86680</v>
      </c>
      <c r="Z252" s="379">
        <f t="shared" ref="Z252:AA252" si="783">Z239+Z241+Z242+Z244+Z246-Z258</f>
        <v>8996799.9900000002</v>
      </c>
      <c r="AA252" s="379">
        <f t="shared" si="783"/>
        <v>16943</v>
      </c>
      <c r="AB252" s="379">
        <f t="shared" ref="AB252:AD252" si="784">AB239+AB241+AB242+AB244+AB246-AB258</f>
        <v>9013742.9900000002</v>
      </c>
      <c r="AC252" s="379">
        <f t="shared" si="784"/>
        <v>30628</v>
      </c>
      <c r="AD252" s="379">
        <f t="shared" si="784"/>
        <v>9044370.9900000002</v>
      </c>
      <c r="AE252" s="379">
        <f t="shared" ref="AE252:AF252" si="785">AE239+AE241+AE242+AE244+AE246-AE258</f>
        <v>35260</v>
      </c>
      <c r="AF252" s="379">
        <f t="shared" si="785"/>
        <v>9079630.9900000002</v>
      </c>
      <c r="AG252" s="379">
        <f t="shared" ref="AG252:AH252" si="786">AG239+AG241+AG242+AG244+AG246-AG258</f>
        <v>10700</v>
      </c>
      <c r="AH252" s="379">
        <f t="shared" si="786"/>
        <v>9090330.9900000002</v>
      </c>
      <c r="AI252" s="379">
        <f>AI239+AI241+AI242+AI244+AI246-AI258</f>
        <v>8293875</v>
      </c>
      <c r="AJ252" s="379">
        <f>AJ239+AJ241+AJ242+AJ244+AJ246-AJ258</f>
        <v>105735</v>
      </c>
      <c r="AK252" s="379">
        <f>AK239+AK241+AK242+AK244+AK246-AK258</f>
        <v>8399610</v>
      </c>
      <c r="AL252" s="12" t="s">
        <v>111</v>
      </c>
      <c r="AM252" s="17">
        <f t="shared" ref="AM252:AR252" si="787">AM239+AM240+AM241+AM242+AM243+AM247</f>
        <v>6790043</v>
      </c>
      <c r="AN252" s="17" t="e">
        <f t="shared" si="787"/>
        <v>#REF!</v>
      </c>
      <c r="AO252" s="17" t="e">
        <f t="shared" si="787"/>
        <v>#REF!</v>
      </c>
      <c r="AP252" s="17" t="e">
        <f t="shared" si="787"/>
        <v>#REF!</v>
      </c>
      <c r="AQ252" s="17" t="e">
        <f t="shared" si="787"/>
        <v>#REF!</v>
      </c>
      <c r="AR252" s="17" t="e">
        <f t="shared" si="787"/>
        <v>#REF!</v>
      </c>
      <c r="AS252" s="17" t="e">
        <f>AS239+AS240+AS241+AS242+AS243+AS247</f>
        <v>#REF!</v>
      </c>
      <c r="AT252" s="17" t="e">
        <f t="shared" ref="AT252:AU252" si="788">AT239+AT240+AT241+AT242+AT243+AT247</f>
        <v>#REF!</v>
      </c>
      <c r="AU252" s="17" t="e">
        <f t="shared" si="788"/>
        <v>#REF!</v>
      </c>
      <c r="AV252" s="17" t="e">
        <f t="shared" ref="AV252:AW252" si="789">AV239+AV240+AV241+AV242+AV243+AV247</f>
        <v>#REF!</v>
      </c>
      <c r="AW252" s="17" t="e">
        <f t="shared" si="789"/>
        <v>#REF!</v>
      </c>
      <c r="AX252" s="17" t="e">
        <f t="shared" ref="AX252:AY252" si="790">AX239+AX240+AX241+AX242+AX243+AX247</f>
        <v>#REF!</v>
      </c>
      <c r="AY252" s="17" t="e">
        <f t="shared" si="790"/>
        <v>#REF!</v>
      </c>
      <c r="AZ252" s="17" t="e">
        <f t="shared" ref="AZ252:BA252" si="791">AZ239+AZ240+AZ241+AZ242+AZ243+AZ247</f>
        <v>#REF!</v>
      </c>
      <c r="BA252" s="17" t="e">
        <f t="shared" si="791"/>
        <v>#REF!</v>
      </c>
      <c r="BB252" s="17" t="e">
        <f t="shared" ref="BB252" si="792">BB239+BB240+BB241+BB242+BB243+BB247</f>
        <v>#REF!</v>
      </c>
      <c r="BC252" s="17" t="e">
        <f t="shared" ref="BC252:BD252" si="793">BC239+BC240+BC241+BC242+BC243+BC247</f>
        <v>#REF!</v>
      </c>
      <c r="BD252" s="17" t="e">
        <f t="shared" si="793"/>
        <v>#REF!</v>
      </c>
      <c r="BE252" s="17" t="e">
        <f t="shared" ref="BE252:BF252" si="794">BE239+BE240+BE241+BE242+BE243+BE247</f>
        <v>#REF!</v>
      </c>
      <c r="BF252" s="17">
        <f t="shared" si="794"/>
        <v>7017506</v>
      </c>
      <c r="BG252" s="17">
        <f t="shared" ref="BG252:BH252" si="795">BG239+BG240+BG241+BG242+BG243+BG247</f>
        <v>45948</v>
      </c>
      <c r="BH252" s="17">
        <f t="shared" si="795"/>
        <v>7063454</v>
      </c>
    </row>
    <row r="253" spans="1:60">
      <c r="A253" s="12" t="s">
        <v>112</v>
      </c>
      <c r="B253" s="379" t="e">
        <f t="shared" ref="B253:P253" si="796">B240+B243+B245+B258</f>
        <v>#REF!</v>
      </c>
      <c r="C253" s="379" t="e">
        <f t="shared" si="796"/>
        <v>#REF!</v>
      </c>
      <c r="D253" s="379" t="e">
        <f t="shared" si="796"/>
        <v>#REF!</v>
      </c>
      <c r="E253" s="379" t="e">
        <f t="shared" si="796"/>
        <v>#REF!</v>
      </c>
      <c r="F253" s="379" t="e">
        <f t="shared" si="796"/>
        <v>#REF!</v>
      </c>
      <c r="G253" s="379" t="e">
        <f t="shared" si="796"/>
        <v>#REF!</v>
      </c>
      <c r="H253" s="379" t="e">
        <f t="shared" si="796"/>
        <v>#REF!</v>
      </c>
      <c r="I253" s="379" t="e">
        <f t="shared" si="796"/>
        <v>#REF!</v>
      </c>
      <c r="J253" s="379" t="e">
        <f t="shared" si="796"/>
        <v>#REF!</v>
      </c>
      <c r="K253" s="379" t="e">
        <f t="shared" si="796"/>
        <v>#REF!</v>
      </c>
      <c r="L253" s="379" t="e">
        <f t="shared" si="796"/>
        <v>#REF!</v>
      </c>
      <c r="M253" s="379" t="e">
        <f t="shared" si="796"/>
        <v>#REF!</v>
      </c>
      <c r="N253" s="379" t="e">
        <f t="shared" si="796"/>
        <v>#REF!</v>
      </c>
      <c r="O253" s="379" t="e">
        <f t="shared" si="796"/>
        <v>#REF!</v>
      </c>
      <c r="P253" s="379">
        <f t="shared" si="796"/>
        <v>3889574</v>
      </c>
      <c r="Q253" s="379">
        <f t="shared" ref="Q253:R253" si="797">Q240+Q243+Q245+Q258</f>
        <v>0</v>
      </c>
      <c r="R253" s="379">
        <f t="shared" si="797"/>
        <v>3889574</v>
      </c>
      <c r="S253" s="379">
        <f t="shared" ref="S253:T253" si="798">S240+S243+S245+S258</f>
        <v>132025</v>
      </c>
      <c r="T253" s="379">
        <f t="shared" si="798"/>
        <v>4021599</v>
      </c>
      <c r="U253" s="379">
        <f t="shared" ref="U253:V253" si="799">U240+U243+U245+U258</f>
        <v>370</v>
      </c>
      <c r="V253" s="379">
        <f t="shared" si="799"/>
        <v>4021969</v>
      </c>
      <c r="W253" s="379">
        <f t="shared" ref="W253:X253" si="800">W240+W243+W245+W258</f>
        <v>140986</v>
      </c>
      <c r="X253" s="379">
        <f t="shared" si="800"/>
        <v>4162955</v>
      </c>
      <c r="Y253" s="379">
        <f t="shared" ref="Y253:Z253" si="801">Y240+Y243+Y245+Y258</f>
        <v>116518</v>
      </c>
      <c r="Z253" s="379">
        <f t="shared" si="801"/>
        <v>4279473</v>
      </c>
      <c r="AA253" s="379">
        <f t="shared" ref="AA253:AB253" si="802">AA240+AA243+AA245+AA258</f>
        <v>0</v>
      </c>
      <c r="AB253" s="379">
        <f t="shared" si="802"/>
        <v>4279473</v>
      </c>
      <c r="AC253" s="379">
        <f t="shared" ref="AC253:AD253" si="803">AC240+AC243+AC245+AC258</f>
        <v>369000</v>
      </c>
      <c r="AD253" s="379">
        <f t="shared" si="803"/>
        <v>4648473</v>
      </c>
      <c r="AE253" s="379">
        <f t="shared" ref="AE253:AF253" si="804">AE240+AE243+AE245+AE258</f>
        <v>192</v>
      </c>
      <c r="AF253" s="379">
        <f t="shared" si="804"/>
        <v>4648665</v>
      </c>
      <c r="AG253" s="379">
        <f t="shared" ref="AG253:AH253" si="805">AG240+AG243+AG245+AG258</f>
        <v>-20000</v>
      </c>
      <c r="AH253" s="379">
        <f t="shared" si="805"/>
        <v>4628665</v>
      </c>
      <c r="AI253" s="379">
        <f>AI240+AI243+AI245+AI258</f>
        <v>2573741</v>
      </c>
      <c r="AJ253" s="379">
        <f>AJ240+AJ243+AJ245+AJ258</f>
        <v>511</v>
      </c>
      <c r="AK253" s="379">
        <f>AK240+AK243+AK245+AK258</f>
        <v>2574252</v>
      </c>
      <c r="AL253" s="12" t="s">
        <v>113</v>
      </c>
      <c r="AM253" s="17">
        <f t="shared" ref="AM253:AR253" si="806">AM244+AM245+AM246</f>
        <v>5451478</v>
      </c>
      <c r="AN253" s="17" t="e">
        <f t="shared" si="806"/>
        <v>#REF!</v>
      </c>
      <c r="AO253" s="17" t="e">
        <f t="shared" si="806"/>
        <v>#REF!</v>
      </c>
      <c r="AP253" s="17" t="e">
        <f t="shared" si="806"/>
        <v>#REF!</v>
      </c>
      <c r="AQ253" s="17" t="e">
        <f t="shared" si="806"/>
        <v>#REF!</v>
      </c>
      <c r="AR253" s="17" t="e">
        <f t="shared" si="806"/>
        <v>#REF!</v>
      </c>
      <c r="AS253" s="17" t="e">
        <f>AS244+AS245+AS246</f>
        <v>#REF!</v>
      </c>
      <c r="AT253" s="17" t="e">
        <f t="shared" ref="AT253" si="807">AT244+AT245+AT246</f>
        <v>#REF!</v>
      </c>
      <c r="AU253" s="17" t="e">
        <f t="shared" ref="AU253:BA253" si="808">AU244+AU245+AU246</f>
        <v>#REF!</v>
      </c>
      <c r="AV253" s="17" t="e">
        <f t="shared" si="808"/>
        <v>#REF!</v>
      </c>
      <c r="AW253" s="17" t="e">
        <f t="shared" si="808"/>
        <v>#REF!</v>
      </c>
      <c r="AX253" s="17" t="e">
        <f t="shared" si="808"/>
        <v>#REF!</v>
      </c>
      <c r="AY253" s="17" t="e">
        <f t="shared" si="808"/>
        <v>#REF!</v>
      </c>
      <c r="AZ253" s="17" t="e">
        <f t="shared" si="808"/>
        <v>#REF!</v>
      </c>
      <c r="BA253" s="17" t="e">
        <f t="shared" si="808"/>
        <v>#REF!</v>
      </c>
      <c r="BB253" s="17" t="e">
        <f t="shared" ref="BB253" si="809">BB244+BB245+BB246</f>
        <v>#REF!</v>
      </c>
      <c r="BC253" s="17" t="e">
        <f t="shared" ref="BC253:BD253" si="810">BC244+BC245+BC246</f>
        <v>#REF!</v>
      </c>
      <c r="BD253" s="17" t="e">
        <f t="shared" si="810"/>
        <v>#REF!</v>
      </c>
      <c r="BE253" s="17">
        <f t="shared" ref="BE253:BF253" si="811">BE244+BE245+BE246</f>
        <v>5965502</v>
      </c>
      <c r="BF253" s="17">
        <f t="shared" si="811"/>
        <v>3850110</v>
      </c>
      <c r="BG253" s="17">
        <f t="shared" ref="BG253:BH253" si="812">BG244+BG245+BG246</f>
        <v>60298</v>
      </c>
      <c r="BH253" s="17">
        <f t="shared" si="812"/>
        <v>3910408</v>
      </c>
    </row>
    <row r="254" spans="1:60">
      <c r="A254" s="446" t="s">
        <v>114</v>
      </c>
      <c r="B254" s="130" t="e">
        <f>B250-#REF!</f>
        <v>#REF!</v>
      </c>
      <c r="C254" s="130" t="e">
        <f>C250-#REF!</f>
        <v>#REF!</v>
      </c>
      <c r="D254" s="130" t="e">
        <f>D250-#REF!</f>
        <v>#REF!</v>
      </c>
      <c r="E254" s="130" t="e">
        <f>E250-#REF!</f>
        <v>#REF!</v>
      </c>
      <c r="F254" s="130"/>
      <c r="G254" s="130"/>
      <c r="H254" s="130"/>
      <c r="I254" s="130"/>
      <c r="J254" s="130"/>
      <c r="K254" s="130"/>
      <c r="L254" s="130"/>
      <c r="M254" s="130"/>
      <c r="N254" s="130"/>
      <c r="O254" s="130"/>
      <c r="P254" s="130"/>
      <c r="Q254" s="130"/>
      <c r="R254" s="130"/>
      <c r="S254" s="130"/>
      <c r="T254" s="130"/>
      <c r="U254" s="130"/>
      <c r="V254" s="130"/>
      <c r="W254" s="130"/>
      <c r="X254" s="130"/>
      <c r="Y254" s="130"/>
      <c r="Z254" s="130"/>
      <c r="AA254" s="130"/>
      <c r="AB254" s="130"/>
      <c r="AC254" s="130"/>
      <c r="AD254" s="130"/>
      <c r="AE254" s="130"/>
      <c r="AF254" s="130"/>
      <c r="AG254" s="130"/>
      <c r="AH254" s="130"/>
      <c r="AI254" s="19"/>
      <c r="AJ254" s="19"/>
      <c r="AK254" s="19"/>
      <c r="AL254" s="446"/>
      <c r="AM254" s="17">
        <f t="shared" ref="AM254:BH254" si="813">P250-AM250</f>
        <v>-9.9999997764825821E-3</v>
      </c>
      <c r="AN254" s="17" t="e">
        <f t="shared" si="813"/>
        <v>#REF!</v>
      </c>
      <c r="AO254" s="17" t="e">
        <f t="shared" si="813"/>
        <v>#REF!</v>
      </c>
      <c r="AP254" s="17" t="e">
        <f t="shared" si="813"/>
        <v>#REF!</v>
      </c>
      <c r="AQ254" s="17" t="e">
        <f t="shared" si="813"/>
        <v>#REF!</v>
      </c>
      <c r="AR254" s="17" t="e">
        <f t="shared" si="813"/>
        <v>#REF!</v>
      </c>
      <c r="AS254" s="17" t="e">
        <f t="shared" si="813"/>
        <v>#REF!</v>
      </c>
      <c r="AT254" s="17" t="e">
        <f t="shared" si="813"/>
        <v>#REF!</v>
      </c>
      <c r="AU254" s="17" t="e">
        <f t="shared" si="813"/>
        <v>#REF!</v>
      </c>
      <c r="AV254" s="17" t="e">
        <f t="shared" si="813"/>
        <v>#REF!</v>
      </c>
      <c r="AW254" s="17" t="e">
        <f t="shared" si="813"/>
        <v>#REF!</v>
      </c>
      <c r="AX254" s="17" t="e">
        <f t="shared" si="813"/>
        <v>#REF!</v>
      </c>
      <c r="AY254" s="17" t="e">
        <f t="shared" si="813"/>
        <v>#REF!</v>
      </c>
      <c r="AZ254" s="17" t="e">
        <f t="shared" si="813"/>
        <v>#REF!</v>
      </c>
      <c r="BA254" s="17" t="e">
        <f t="shared" si="813"/>
        <v>#REF!</v>
      </c>
      <c r="BB254" s="17" t="e">
        <f t="shared" si="813"/>
        <v>#REF!</v>
      </c>
      <c r="BC254" s="17" t="e">
        <f t="shared" si="813"/>
        <v>#REF!</v>
      </c>
      <c r="BD254" s="17" t="e">
        <f t="shared" si="813"/>
        <v>#REF!</v>
      </c>
      <c r="BE254" s="17" t="e">
        <f t="shared" si="813"/>
        <v>#REF!</v>
      </c>
      <c r="BF254" s="17">
        <f t="shared" si="813"/>
        <v>0</v>
      </c>
      <c r="BG254" s="17">
        <f t="shared" si="813"/>
        <v>0</v>
      </c>
      <c r="BH254" s="17">
        <f t="shared" si="813"/>
        <v>0</v>
      </c>
    </row>
    <row r="255" spans="1:60">
      <c r="A255" s="706" t="s">
        <v>115</v>
      </c>
      <c r="B255" s="706"/>
      <c r="C255" s="706"/>
      <c r="D255" s="706"/>
      <c r="E255" s="706"/>
      <c r="F255" s="706"/>
      <c r="G255" s="706"/>
      <c r="H255" s="706"/>
      <c r="I255" s="706"/>
      <c r="J255" s="706"/>
      <c r="K255" s="706"/>
      <c r="L255" s="706"/>
      <c r="M255" s="706"/>
      <c r="N255" s="706"/>
      <c r="O255" s="706"/>
      <c r="P255" s="706"/>
      <c r="Q255" s="706"/>
      <c r="R255" s="706"/>
      <c r="S255" s="706"/>
      <c r="T255" s="706"/>
      <c r="U255" s="706"/>
      <c r="V255" s="706"/>
      <c r="W255" s="706"/>
      <c r="X255" s="706"/>
      <c r="Y255" s="706"/>
      <c r="Z255" s="706"/>
      <c r="AA255" s="706"/>
      <c r="AB255" s="706"/>
      <c r="AC255" s="706"/>
      <c r="AD255" s="706"/>
      <c r="AE255" s="706"/>
      <c r="AF255" s="706"/>
      <c r="AG255" s="706"/>
      <c r="AH255" s="706"/>
      <c r="AI255" s="706"/>
      <c r="AJ255" s="706"/>
      <c r="AK255" s="706"/>
      <c r="AL255" s="706"/>
      <c r="AM255" s="17">
        <f t="shared" ref="AM255:AV256" si="814">P252-AM252</f>
        <v>1561903.9900000002</v>
      </c>
      <c r="AN255" s="17" t="e">
        <f t="shared" si="814"/>
        <v>#REF!</v>
      </c>
      <c r="AO255" s="17" t="e">
        <f t="shared" si="814"/>
        <v>#REF!</v>
      </c>
      <c r="AP255" s="17" t="e">
        <f t="shared" si="814"/>
        <v>#REF!</v>
      </c>
      <c r="AQ255" s="17" t="e">
        <f t="shared" si="814"/>
        <v>#REF!</v>
      </c>
      <c r="AR255" s="17" t="e">
        <f t="shared" si="814"/>
        <v>#REF!</v>
      </c>
      <c r="AS255" s="17" t="e">
        <f t="shared" si="814"/>
        <v>#REF!</v>
      </c>
      <c r="AT255" s="17" t="e">
        <f t="shared" si="814"/>
        <v>#REF!</v>
      </c>
      <c r="AU255" s="17" t="e">
        <f t="shared" si="814"/>
        <v>#REF!</v>
      </c>
      <c r="AV255" s="17" t="e">
        <f t="shared" si="814"/>
        <v>#REF!</v>
      </c>
      <c r="AW255" s="17" t="e">
        <f t="shared" ref="AW255:BF256" si="815">Z252-AW252</f>
        <v>#REF!</v>
      </c>
      <c r="AX255" s="17" t="e">
        <f t="shared" si="815"/>
        <v>#REF!</v>
      </c>
      <c r="AY255" s="17" t="e">
        <f t="shared" si="815"/>
        <v>#REF!</v>
      </c>
      <c r="AZ255" s="17" t="e">
        <f t="shared" si="815"/>
        <v>#REF!</v>
      </c>
      <c r="BA255" s="17" t="e">
        <f t="shared" si="815"/>
        <v>#REF!</v>
      </c>
      <c r="BB255" s="17" t="e">
        <f t="shared" si="815"/>
        <v>#REF!</v>
      </c>
      <c r="BC255" s="17" t="e">
        <f t="shared" si="815"/>
        <v>#REF!</v>
      </c>
      <c r="BD255" s="17" t="e">
        <f t="shared" si="815"/>
        <v>#REF!</v>
      </c>
      <c r="BE255" s="17" t="e">
        <f t="shared" si="815"/>
        <v>#REF!</v>
      </c>
      <c r="BF255" s="17">
        <f t="shared" si="815"/>
        <v>1276369</v>
      </c>
      <c r="BG255" s="17">
        <f t="shared" ref="BG255:BH256" si="816">AJ252-BG252</f>
        <v>59787</v>
      </c>
      <c r="BH255" s="17">
        <f t="shared" si="816"/>
        <v>1336156</v>
      </c>
    </row>
    <row r="256" spans="1:60">
      <c r="A256" s="706" t="s">
        <v>116</v>
      </c>
      <c r="B256" s="706"/>
      <c r="C256" s="706"/>
      <c r="D256" s="706"/>
      <c r="E256" s="706"/>
      <c r="F256" s="706"/>
      <c r="G256" s="706"/>
      <c r="H256" s="706"/>
      <c r="I256" s="706"/>
      <c r="J256" s="706"/>
      <c r="K256" s="706"/>
      <c r="L256" s="706"/>
      <c r="M256" s="706"/>
      <c r="N256" s="706"/>
      <c r="O256" s="706"/>
      <c r="P256" s="706"/>
      <c r="Q256" s="706"/>
      <c r="R256" s="706"/>
      <c r="S256" s="706"/>
      <c r="T256" s="706"/>
      <c r="U256" s="706"/>
      <c r="V256" s="706"/>
      <c r="W256" s="706"/>
      <c r="X256" s="706"/>
      <c r="Y256" s="706"/>
      <c r="Z256" s="706"/>
      <c r="AA256" s="706"/>
      <c r="AB256" s="706"/>
      <c r="AC256" s="706"/>
      <c r="AD256" s="706"/>
      <c r="AE256" s="706"/>
      <c r="AF256" s="706"/>
      <c r="AG256" s="706"/>
      <c r="AH256" s="706"/>
      <c r="AI256" s="706"/>
      <c r="AJ256" s="706"/>
      <c r="AK256" s="706"/>
      <c r="AL256" s="706"/>
      <c r="AM256" s="17">
        <f t="shared" si="814"/>
        <v>-1561904</v>
      </c>
      <c r="AN256" s="17" t="e">
        <f t="shared" si="814"/>
        <v>#REF!</v>
      </c>
      <c r="AO256" s="17" t="e">
        <f t="shared" si="814"/>
        <v>#REF!</v>
      </c>
      <c r="AP256" s="17" t="e">
        <f t="shared" si="814"/>
        <v>#REF!</v>
      </c>
      <c r="AQ256" s="17" t="e">
        <f t="shared" si="814"/>
        <v>#REF!</v>
      </c>
      <c r="AR256" s="17" t="e">
        <f t="shared" si="814"/>
        <v>#REF!</v>
      </c>
      <c r="AS256" s="17" t="e">
        <f t="shared" si="814"/>
        <v>#REF!</v>
      </c>
      <c r="AT256" s="17" t="e">
        <f t="shared" si="814"/>
        <v>#REF!</v>
      </c>
      <c r="AU256" s="17" t="e">
        <f t="shared" si="814"/>
        <v>#REF!</v>
      </c>
      <c r="AV256" s="17" t="e">
        <f t="shared" si="814"/>
        <v>#REF!</v>
      </c>
      <c r="AW256" s="17" t="e">
        <f t="shared" si="815"/>
        <v>#REF!</v>
      </c>
      <c r="AX256" s="17" t="e">
        <f t="shared" si="815"/>
        <v>#REF!</v>
      </c>
      <c r="AY256" s="17" t="e">
        <f t="shared" si="815"/>
        <v>#REF!</v>
      </c>
      <c r="AZ256" s="17" t="e">
        <f t="shared" si="815"/>
        <v>#REF!</v>
      </c>
      <c r="BA256" s="17" t="e">
        <f t="shared" si="815"/>
        <v>#REF!</v>
      </c>
      <c r="BB256" s="17" t="e">
        <f t="shared" si="815"/>
        <v>#REF!</v>
      </c>
      <c r="BC256" s="17" t="e">
        <f t="shared" si="815"/>
        <v>#REF!</v>
      </c>
      <c r="BD256" s="17" t="e">
        <f t="shared" si="815"/>
        <v>#REF!</v>
      </c>
      <c r="BE256" s="17">
        <f t="shared" si="815"/>
        <v>-1336837</v>
      </c>
      <c r="BF256" s="17">
        <f t="shared" si="815"/>
        <v>-1276369</v>
      </c>
      <c r="BG256" s="17">
        <f t="shared" si="816"/>
        <v>-59787</v>
      </c>
      <c r="BH256" s="17">
        <f t="shared" si="816"/>
        <v>-1336156</v>
      </c>
    </row>
    <row r="257" spans="1:38">
      <c r="A257" s="45" t="s">
        <v>117</v>
      </c>
      <c r="B257" s="46" t="e">
        <f>B247-B258</f>
        <v>#REF!</v>
      </c>
      <c r="C257" s="46" t="e">
        <f>C247-C258</f>
        <v>#REF!</v>
      </c>
      <c r="D257" s="46" t="e">
        <f>D247-D258</f>
        <v>#REF!</v>
      </c>
      <c r="E257" s="46" t="e">
        <f>E247-E258</f>
        <v>#REF!</v>
      </c>
      <c r="F257" s="46"/>
      <c r="G257" s="46" t="e">
        <f>G247-G258</f>
        <v>#REF!</v>
      </c>
      <c r="H257" s="46"/>
      <c r="I257" s="46" t="e">
        <f>SUM(G257:H257)</f>
        <v>#REF!</v>
      </c>
      <c r="J257" s="46"/>
      <c r="K257" s="46" t="e">
        <f>SUM(I257:J257)</f>
        <v>#REF!</v>
      </c>
      <c r="L257" s="46"/>
      <c r="M257" s="46" t="e">
        <f>SUM(K257:L257)</f>
        <v>#REF!</v>
      </c>
      <c r="N257" s="46"/>
      <c r="O257" s="46" t="e">
        <f>SUM(M257:N257)</f>
        <v>#REF!</v>
      </c>
      <c r="P257" s="46">
        <f>P247-P258</f>
        <v>1104929</v>
      </c>
      <c r="Q257" s="46"/>
      <c r="R257" s="46">
        <f>SUM(P257:Q257)</f>
        <v>1104929</v>
      </c>
      <c r="S257" s="46">
        <v>143406</v>
      </c>
      <c r="T257" s="46">
        <f>SUM(R257:S257)</f>
        <v>1248335</v>
      </c>
      <c r="U257" s="46"/>
      <c r="V257" s="46">
        <f>SUM(T257:U257)</f>
        <v>1248335</v>
      </c>
      <c r="W257" s="46"/>
      <c r="X257" s="46">
        <f>SUM(V257:W257)</f>
        <v>1248335</v>
      </c>
      <c r="Y257" s="46"/>
      <c r="Z257" s="46">
        <f>SUM(X257:Y257)</f>
        <v>1248335</v>
      </c>
      <c r="AA257" s="46"/>
      <c r="AB257" s="46">
        <f>SUM(Z257:AA257)</f>
        <v>1248335</v>
      </c>
      <c r="AC257" s="46"/>
      <c r="AD257" s="46">
        <f>SUM(AB257:AC257)</f>
        <v>1248335</v>
      </c>
      <c r="AE257" s="46"/>
      <c r="AF257" s="46">
        <f>SUM(AD257:AE257)</f>
        <v>1248335</v>
      </c>
      <c r="AG257" s="46"/>
      <c r="AH257" s="46">
        <f>SUM(AF257:AG257)</f>
        <v>1248335</v>
      </c>
      <c r="AI257" s="46">
        <v>856378</v>
      </c>
      <c r="AJ257" s="46"/>
      <c r="AK257" s="46">
        <f>SUM(AI257:AJ257)</f>
        <v>856378</v>
      </c>
      <c r="AL257" s="45"/>
    </row>
    <row r="258" spans="1:38">
      <c r="A258" s="45" t="s">
        <v>118</v>
      </c>
      <c r="B258" s="46">
        <v>2518515</v>
      </c>
      <c r="C258" s="46">
        <v>2518515</v>
      </c>
      <c r="D258" s="46"/>
      <c r="E258" s="46">
        <v>2518515</v>
      </c>
      <c r="F258" s="46"/>
      <c r="G258" s="46">
        <v>2518515</v>
      </c>
      <c r="H258" s="46"/>
      <c r="I258" s="46">
        <f>SUM(G258:H258)</f>
        <v>2518515</v>
      </c>
      <c r="J258" s="46"/>
      <c r="K258" s="46">
        <f>SUM(I258:J258)</f>
        <v>2518515</v>
      </c>
      <c r="L258" s="46"/>
      <c r="M258" s="46">
        <f>SUM(K258:L258)</f>
        <v>2518515</v>
      </c>
      <c r="N258" s="46"/>
      <c r="O258" s="46">
        <f>SUM(M258:N258)</f>
        <v>2518515</v>
      </c>
      <c r="P258" s="46">
        <v>2055949</v>
      </c>
      <c r="Q258" s="46"/>
      <c r="R258" s="46">
        <f>SUM(P258:Q258)</f>
        <v>2055949</v>
      </c>
      <c r="S258" s="46">
        <v>131738</v>
      </c>
      <c r="T258" s="46">
        <f>SUM(R258:S258)</f>
        <v>2187687</v>
      </c>
      <c r="U258" s="46"/>
      <c r="V258" s="46">
        <f>SUM(T258:U258)</f>
        <v>2187687</v>
      </c>
      <c r="W258" s="46"/>
      <c r="X258" s="46">
        <f>SUM(V258:W258)</f>
        <v>2187687</v>
      </c>
      <c r="Y258" s="46"/>
      <c r="Z258" s="46">
        <f>SUM(X258:Y258)</f>
        <v>2187687</v>
      </c>
      <c r="AA258" s="46"/>
      <c r="AB258" s="46">
        <f>SUM(Z258:AA258)</f>
        <v>2187687</v>
      </c>
      <c r="AC258" s="46"/>
      <c r="AD258" s="46">
        <f>SUM(AB258:AC258)</f>
        <v>2187687</v>
      </c>
      <c r="AE258" s="46"/>
      <c r="AF258" s="46">
        <f>SUM(AD258:AE258)</f>
        <v>2187687</v>
      </c>
      <c r="AG258" s="46"/>
      <c r="AH258" s="46">
        <f>SUM(AF258:AG258)</f>
        <v>2187687</v>
      </c>
      <c r="AI258" s="46">
        <v>1660622</v>
      </c>
      <c r="AJ258" s="46"/>
      <c r="AK258" s="46">
        <f>SUM(AI258:AJ258)</f>
        <v>1660622</v>
      </c>
      <c r="AL258" s="45"/>
    </row>
    <row r="259" spans="1:38">
      <c r="I259" s="46"/>
      <c r="J259" s="46"/>
      <c r="K259" s="46"/>
      <c r="L259" s="46"/>
      <c r="M259" s="46"/>
      <c r="N259" s="46"/>
      <c r="O259" s="46"/>
      <c r="P259" s="46"/>
      <c r="Q259" s="46"/>
      <c r="R259" s="46"/>
      <c r="S259" s="46"/>
      <c r="T259" s="46"/>
      <c r="U259" s="46"/>
      <c r="V259" s="46"/>
      <c r="W259" s="46"/>
      <c r="X259" s="46"/>
      <c r="Y259" s="46"/>
      <c r="Z259" s="46"/>
      <c r="AA259" s="46"/>
      <c r="AB259" s="46"/>
      <c r="AC259" s="46"/>
      <c r="AD259" s="46"/>
      <c r="AE259" s="46"/>
      <c r="AF259" s="46"/>
      <c r="AG259" s="46"/>
      <c r="AH259" s="46"/>
      <c r="AI259" s="46"/>
      <c r="AJ259" s="46"/>
      <c r="AK259" s="46"/>
    </row>
  </sheetData>
  <mergeCells count="15">
    <mergeCell ref="BG1:BH1"/>
    <mergeCell ref="A256:AL256"/>
    <mergeCell ref="B5:O5"/>
    <mergeCell ref="A255:AL255"/>
    <mergeCell ref="A237:BE237"/>
    <mergeCell ref="A3:BH3"/>
    <mergeCell ref="A220:BH220"/>
    <mergeCell ref="A144:BH144"/>
    <mergeCell ref="A131:BH131"/>
    <mergeCell ref="A7:BH7"/>
    <mergeCell ref="A207:BH207"/>
    <mergeCell ref="A195:BH195"/>
    <mergeCell ref="A182:BH182"/>
    <mergeCell ref="A169:BH169"/>
    <mergeCell ref="A157:BH157"/>
  </mergeCells>
  <printOptions horizontalCentered="1" verticalCentered="1"/>
  <pageMargins left="0.19685039370078741" right="0.19685039370078741" top="0.11811023622047245" bottom="0.11811023622047245" header="0.11811023622047245" footer="0.11811023622047245"/>
  <pageSetup paperSize="9" scale="81" fitToWidth="0" orientation="landscape" r:id="rId1"/>
  <headerFooter alignWithMargins="0"/>
  <rowBreaks count="6" manualBreakCount="6">
    <brk id="45" max="68" man="1"/>
    <brk id="73" max="68" man="1"/>
    <brk id="102" max="68" man="1"/>
    <brk id="130" max="68" man="1"/>
    <brk id="168" max="68" man="1"/>
    <brk id="206" max="6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B31"/>
  <sheetViews>
    <sheetView view="pageBreakPreview" zoomScaleNormal="100" zoomScaleSheetLayoutView="100" workbookViewId="0">
      <selection activeCell="B29" sqref="B29"/>
    </sheetView>
  </sheetViews>
  <sheetFormatPr defaultRowHeight="15.75"/>
  <cols>
    <col min="1" max="1" width="42.28515625" style="147" bestFit="1" customWidth="1"/>
    <col min="2" max="2" width="13.42578125" style="148" bestFit="1" customWidth="1"/>
    <col min="3" max="3" width="13.5703125" style="148" bestFit="1" customWidth="1"/>
    <col min="4" max="4" width="8.85546875" style="148" customWidth="1"/>
    <col min="5" max="5" width="12.140625" style="148" bestFit="1" customWidth="1"/>
    <col min="6" max="6" width="13.42578125" style="148" customWidth="1"/>
    <col min="7" max="7" width="11.28515625" style="148" bestFit="1" customWidth="1"/>
    <col min="8" max="8" width="11.28515625" style="149" bestFit="1" customWidth="1"/>
    <col min="9" max="9" width="11.7109375" style="148" bestFit="1" customWidth="1"/>
    <col min="10" max="10" width="9.7109375" style="148" bestFit="1" customWidth="1"/>
    <col min="11" max="11" width="11.85546875" style="148" customWidth="1"/>
    <col min="12" max="12" width="13.28515625" style="148" customWidth="1"/>
    <col min="13" max="13" width="12.85546875" style="149" customWidth="1"/>
    <col min="14" max="14" width="36" style="147" customWidth="1"/>
    <col min="15" max="15" width="11" style="148" customWidth="1"/>
    <col min="16" max="16" width="12" style="148" customWidth="1"/>
    <col min="17" max="17" width="9.140625" style="148" customWidth="1"/>
    <col min="18" max="18" width="12.28515625" style="148" customWidth="1"/>
    <col min="19" max="19" width="10.140625" style="148" customWidth="1"/>
    <col min="20" max="20" width="12" style="148" customWidth="1"/>
    <col min="21" max="21" width="12.5703125" style="149" bestFit="1" customWidth="1"/>
    <col min="22" max="22" width="10.42578125" style="148" customWidth="1"/>
    <col min="23" max="23" width="9.140625" style="148"/>
    <col min="24" max="24" width="11.5703125" style="148" customWidth="1"/>
    <col min="25" max="25" width="11.42578125" style="148" customWidth="1"/>
    <col min="26" max="26" width="11.5703125" style="149" customWidth="1"/>
    <col min="27" max="27" width="12.42578125" style="148" bestFit="1" customWidth="1"/>
    <col min="28" max="28" width="14" style="293" customWidth="1"/>
    <col min="29" max="179" width="9.140625" style="148"/>
    <col min="180" max="180" width="49.42578125" style="148" customWidth="1"/>
    <col min="181" max="181" width="13.85546875" style="148" bestFit="1" customWidth="1"/>
    <col min="182" max="182" width="13.85546875" style="148" customWidth="1"/>
    <col min="183" max="183" width="9.5703125" style="148" bestFit="1" customWidth="1"/>
    <col min="184" max="184" width="12.140625" style="148" bestFit="1" customWidth="1"/>
    <col min="185" max="185" width="13.42578125" style="148" customWidth="1"/>
    <col min="186" max="186" width="13.28515625" style="148" customWidth="1"/>
    <col min="187" max="187" width="12.28515625" style="148" customWidth="1"/>
    <col min="188" max="188" width="11.7109375" style="148" bestFit="1" customWidth="1"/>
    <col min="189" max="189" width="9.7109375" style="148" bestFit="1" customWidth="1"/>
    <col min="190" max="190" width="11.85546875" style="148" customWidth="1"/>
    <col min="191" max="191" width="13.28515625" style="148" customWidth="1"/>
    <col min="192" max="192" width="12.85546875" style="148" customWidth="1"/>
    <col min="193" max="193" width="36" style="148" customWidth="1"/>
    <col min="194" max="194" width="11" style="148" customWidth="1"/>
    <col min="195" max="195" width="12" style="148" customWidth="1"/>
    <col min="196" max="196" width="9.140625" style="148"/>
    <col min="197" max="197" width="12.28515625" style="148" customWidth="1"/>
    <col min="198" max="198" width="10.140625" style="148" bestFit="1" customWidth="1"/>
    <col min="199" max="199" width="12" style="148" customWidth="1"/>
    <col min="200" max="200" width="12.5703125" style="148" bestFit="1" customWidth="1"/>
    <col min="201" max="201" width="10.42578125" style="148" customWidth="1"/>
    <col min="202" max="202" width="9.140625" style="148"/>
    <col min="203" max="203" width="11.5703125" style="148" customWidth="1"/>
    <col min="204" max="204" width="11.42578125" style="148" customWidth="1"/>
    <col min="205" max="205" width="11.5703125" style="148" customWidth="1"/>
    <col min="206" max="206" width="12.42578125" style="148" bestFit="1" customWidth="1"/>
    <col min="207" max="435" width="9.140625" style="148"/>
    <col min="436" max="436" width="49.42578125" style="148" customWidth="1"/>
    <col min="437" max="437" width="13.85546875" style="148" bestFit="1" customWidth="1"/>
    <col min="438" max="438" width="13.85546875" style="148" customWidth="1"/>
    <col min="439" max="439" width="9.5703125" style="148" bestFit="1" customWidth="1"/>
    <col min="440" max="440" width="12.140625" style="148" bestFit="1" customWidth="1"/>
    <col min="441" max="441" width="13.42578125" style="148" customWidth="1"/>
    <col min="442" max="442" width="13.28515625" style="148" customWidth="1"/>
    <col min="443" max="443" width="12.28515625" style="148" customWidth="1"/>
    <col min="444" max="444" width="11.7109375" style="148" bestFit="1" customWidth="1"/>
    <col min="445" max="445" width="9.7109375" style="148" bestFit="1" customWidth="1"/>
    <col min="446" max="446" width="11.85546875" style="148" customWidth="1"/>
    <col min="447" max="447" width="13.28515625" style="148" customWidth="1"/>
    <col min="448" max="448" width="12.85546875" style="148" customWidth="1"/>
    <col min="449" max="449" width="36" style="148" customWidth="1"/>
    <col min="450" max="450" width="11" style="148" customWidth="1"/>
    <col min="451" max="451" width="12" style="148" customWidth="1"/>
    <col min="452" max="452" width="9.140625" style="148"/>
    <col min="453" max="453" width="12.28515625" style="148" customWidth="1"/>
    <col min="454" max="454" width="10.140625" style="148" bestFit="1" customWidth="1"/>
    <col min="455" max="455" width="12" style="148" customWidth="1"/>
    <col min="456" max="456" width="12.5703125" style="148" bestFit="1" customWidth="1"/>
    <col min="457" max="457" width="10.42578125" style="148" customWidth="1"/>
    <col min="458" max="458" width="9.140625" style="148"/>
    <col min="459" max="459" width="11.5703125" style="148" customWidth="1"/>
    <col min="460" max="460" width="11.42578125" style="148" customWidth="1"/>
    <col min="461" max="461" width="11.5703125" style="148" customWidth="1"/>
    <col min="462" max="462" width="12.42578125" style="148" bestFit="1" customWidth="1"/>
    <col min="463" max="691" width="9.140625" style="148"/>
    <col min="692" max="692" width="49.42578125" style="148" customWidth="1"/>
    <col min="693" max="693" width="13.85546875" style="148" bestFit="1" customWidth="1"/>
    <col min="694" max="694" width="13.85546875" style="148" customWidth="1"/>
    <col min="695" max="695" width="9.5703125" style="148" bestFit="1" customWidth="1"/>
    <col min="696" max="696" width="12.140625" style="148" bestFit="1" customWidth="1"/>
    <col min="697" max="697" width="13.42578125" style="148" customWidth="1"/>
    <col min="698" max="698" width="13.28515625" style="148" customWidth="1"/>
    <col min="699" max="699" width="12.28515625" style="148" customWidth="1"/>
    <col min="700" max="700" width="11.7109375" style="148" bestFit="1" customWidth="1"/>
    <col min="701" max="701" width="9.7109375" style="148" bestFit="1" customWidth="1"/>
    <col min="702" max="702" width="11.85546875" style="148" customWidth="1"/>
    <col min="703" max="703" width="13.28515625" style="148" customWidth="1"/>
    <col min="704" max="704" width="12.85546875" style="148" customWidth="1"/>
    <col min="705" max="705" width="36" style="148" customWidth="1"/>
    <col min="706" max="706" width="11" style="148" customWidth="1"/>
    <col min="707" max="707" width="12" style="148" customWidth="1"/>
    <col min="708" max="708" width="9.140625" style="148"/>
    <col min="709" max="709" width="12.28515625" style="148" customWidth="1"/>
    <col min="710" max="710" width="10.140625" style="148" bestFit="1" customWidth="1"/>
    <col min="711" max="711" width="12" style="148" customWidth="1"/>
    <col min="712" max="712" width="12.5703125" style="148" bestFit="1" customWidth="1"/>
    <col min="713" max="713" width="10.42578125" style="148" customWidth="1"/>
    <col min="714" max="714" width="9.140625" style="148"/>
    <col min="715" max="715" width="11.5703125" style="148" customWidth="1"/>
    <col min="716" max="716" width="11.42578125" style="148" customWidth="1"/>
    <col min="717" max="717" width="11.5703125" style="148" customWidth="1"/>
    <col min="718" max="718" width="12.42578125" style="148" bestFit="1" customWidth="1"/>
    <col min="719" max="947" width="9.140625" style="148"/>
    <col min="948" max="948" width="49.42578125" style="148" customWidth="1"/>
    <col min="949" max="949" width="13.85546875" style="148" bestFit="1" customWidth="1"/>
    <col min="950" max="950" width="13.85546875" style="148" customWidth="1"/>
    <col min="951" max="951" width="9.5703125" style="148" bestFit="1" customWidth="1"/>
    <col min="952" max="952" width="12.140625" style="148" bestFit="1" customWidth="1"/>
    <col min="953" max="953" width="13.42578125" style="148" customWidth="1"/>
    <col min="954" max="954" width="13.28515625" style="148" customWidth="1"/>
    <col min="955" max="955" width="12.28515625" style="148" customWidth="1"/>
    <col min="956" max="956" width="11.7109375" style="148" bestFit="1" customWidth="1"/>
    <col min="957" max="957" width="9.7109375" style="148" bestFit="1" customWidth="1"/>
    <col min="958" max="958" width="11.85546875" style="148" customWidth="1"/>
    <col min="959" max="959" width="13.28515625" style="148" customWidth="1"/>
    <col min="960" max="960" width="12.85546875" style="148" customWidth="1"/>
    <col min="961" max="961" width="36" style="148" customWidth="1"/>
    <col min="962" max="962" width="11" style="148" customWidth="1"/>
    <col min="963" max="963" width="12" style="148" customWidth="1"/>
    <col min="964" max="964" width="9.140625" style="148"/>
    <col min="965" max="965" width="12.28515625" style="148" customWidth="1"/>
    <col min="966" max="966" width="10.140625" style="148" bestFit="1" customWidth="1"/>
    <col min="967" max="967" width="12" style="148" customWidth="1"/>
    <col min="968" max="968" width="12.5703125" style="148" bestFit="1" customWidth="1"/>
    <col min="969" max="969" width="10.42578125" style="148" customWidth="1"/>
    <col min="970" max="970" width="9.140625" style="148"/>
    <col min="971" max="971" width="11.5703125" style="148" customWidth="1"/>
    <col min="972" max="972" width="11.42578125" style="148" customWidth="1"/>
    <col min="973" max="973" width="11.5703125" style="148" customWidth="1"/>
    <col min="974" max="974" width="12.42578125" style="148" bestFit="1" customWidth="1"/>
    <col min="975" max="1203" width="9.140625" style="148"/>
    <col min="1204" max="1204" width="49.42578125" style="148" customWidth="1"/>
    <col min="1205" max="1205" width="13.85546875" style="148" bestFit="1" customWidth="1"/>
    <col min="1206" max="1206" width="13.85546875" style="148" customWidth="1"/>
    <col min="1207" max="1207" width="9.5703125" style="148" bestFit="1" customWidth="1"/>
    <col min="1208" max="1208" width="12.140625" style="148" bestFit="1" customWidth="1"/>
    <col min="1209" max="1209" width="13.42578125" style="148" customWidth="1"/>
    <col min="1210" max="1210" width="13.28515625" style="148" customWidth="1"/>
    <col min="1211" max="1211" width="12.28515625" style="148" customWidth="1"/>
    <col min="1212" max="1212" width="11.7109375" style="148" bestFit="1" customWidth="1"/>
    <col min="1213" max="1213" width="9.7109375" style="148" bestFit="1" customWidth="1"/>
    <col min="1214" max="1214" width="11.85546875" style="148" customWidth="1"/>
    <col min="1215" max="1215" width="13.28515625" style="148" customWidth="1"/>
    <col min="1216" max="1216" width="12.85546875" style="148" customWidth="1"/>
    <col min="1217" max="1217" width="36" style="148" customWidth="1"/>
    <col min="1218" max="1218" width="11" style="148" customWidth="1"/>
    <col min="1219" max="1219" width="12" style="148" customWidth="1"/>
    <col min="1220" max="1220" width="9.140625" style="148"/>
    <col min="1221" max="1221" width="12.28515625" style="148" customWidth="1"/>
    <col min="1222" max="1222" width="10.140625" style="148" bestFit="1" customWidth="1"/>
    <col min="1223" max="1223" width="12" style="148" customWidth="1"/>
    <col min="1224" max="1224" width="12.5703125" style="148" bestFit="1" customWidth="1"/>
    <col min="1225" max="1225" width="10.42578125" style="148" customWidth="1"/>
    <col min="1226" max="1226" width="9.140625" style="148"/>
    <col min="1227" max="1227" width="11.5703125" style="148" customWidth="1"/>
    <col min="1228" max="1228" width="11.42578125" style="148" customWidth="1"/>
    <col min="1229" max="1229" width="11.5703125" style="148" customWidth="1"/>
    <col min="1230" max="1230" width="12.42578125" style="148" bestFit="1" customWidth="1"/>
    <col min="1231" max="1459" width="9.140625" style="148"/>
    <col min="1460" max="1460" width="49.42578125" style="148" customWidth="1"/>
    <col min="1461" max="1461" width="13.85546875" style="148" bestFit="1" customWidth="1"/>
    <col min="1462" max="1462" width="13.85546875" style="148" customWidth="1"/>
    <col min="1463" max="1463" width="9.5703125" style="148" bestFit="1" customWidth="1"/>
    <col min="1464" max="1464" width="12.140625" style="148" bestFit="1" customWidth="1"/>
    <col min="1465" max="1465" width="13.42578125" style="148" customWidth="1"/>
    <col min="1466" max="1466" width="13.28515625" style="148" customWidth="1"/>
    <col min="1467" max="1467" width="12.28515625" style="148" customWidth="1"/>
    <col min="1468" max="1468" width="11.7109375" style="148" bestFit="1" customWidth="1"/>
    <col min="1469" max="1469" width="9.7109375" style="148" bestFit="1" customWidth="1"/>
    <col min="1470" max="1470" width="11.85546875" style="148" customWidth="1"/>
    <col min="1471" max="1471" width="13.28515625" style="148" customWidth="1"/>
    <col min="1472" max="1472" width="12.85546875" style="148" customWidth="1"/>
    <col min="1473" max="1473" width="36" style="148" customWidth="1"/>
    <col min="1474" max="1474" width="11" style="148" customWidth="1"/>
    <col min="1475" max="1475" width="12" style="148" customWidth="1"/>
    <col min="1476" max="1476" width="9.140625" style="148"/>
    <col min="1477" max="1477" width="12.28515625" style="148" customWidth="1"/>
    <col min="1478" max="1478" width="10.140625" style="148" bestFit="1" customWidth="1"/>
    <col min="1479" max="1479" width="12" style="148" customWidth="1"/>
    <col min="1480" max="1480" width="12.5703125" style="148" bestFit="1" customWidth="1"/>
    <col min="1481" max="1481" width="10.42578125" style="148" customWidth="1"/>
    <col min="1482" max="1482" width="9.140625" style="148"/>
    <col min="1483" max="1483" width="11.5703125" style="148" customWidth="1"/>
    <col min="1484" max="1484" width="11.42578125" style="148" customWidth="1"/>
    <col min="1485" max="1485" width="11.5703125" style="148" customWidth="1"/>
    <col min="1486" max="1486" width="12.42578125" style="148" bestFit="1" customWidth="1"/>
    <col min="1487" max="1715" width="9.140625" style="148"/>
    <col min="1716" max="1716" width="49.42578125" style="148" customWidth="1"/>
    <col min="1717" max="1717" width="13.85546875" style="148" bestFit="1" customWidth="1"/>
    <col min="1718" max="1718" width="13.85546875" style="148" customWidth="1"/>
    <col min="1719" max="1719" width="9.5703125" style="148" bestFit="1" customWidth="1"/>
    <col min="1720" max="1720" width="12.140625" style="148" bestFit="1" customWidth="1"/>
    <col min="1721" max="1721" width="13.42578125" style="148" customWidth="1"/>
    <col min="1722" max="1722" width="13.28515625" style="148" customWidth="1"/>
    <col min="1723" max="1723" width="12.28515625" style="148" customWidth="1"/>
    <col min="1724" max="1724" width="11.7109375" style="148" bestFit="1" customWidth="1"/>
    <col min="1725" max="1725" width="9.7109375" style="148" bestFit="1" customWidth="1"/>
    <col min="1726" max="1726" width="11.85546875" style="148" customWidth="1"/>
    <col min="1727" max="1727" width="13.28515625" style="148" customWidth="1"/>
    <col min="1728" max="1728" width="12.85546875" style="148" customWidth="1"/>
    <col min="1729" max="1729" width="36" style="148" customWidth="1"/>
    <col min="1730" max="1730" width="11" style="148" customWidth="1"/>
    <col min="1731" max="1731" width="12" style="148" customWidth="1"/>
    <col min="1732" max="1732" width="9.140625" style="148"/>
    <col min="1733" max="1733" width="12.28515625" style="148" customWidth="1"/>
    <col min="1734" max="1734" width="10.140625" style="148" bestFit="1" customWidth="1"/>
    <col min="1735" max="1735" width="12" style="148" customWidth="1"/>
    <col min="1736" max="1736" width="12.5703125" style="148" bestFit="1" customWidth="1"/>
    <col min="1737" max="1737" width="10.42578125" style="148" customWidth="1"/>
    <col min="1738" max="1738" width="9.140625" style="148"/>
    <col min="1739" max="1739" width="11.5703125" style="148" customWidth="1"/>
    <col min="1740" max="1740" width="11.42578125" style="148" customWidth="1"/>
    <col min="1741" max="1741" width="11.5703125" style="148" customWidth="1"/>
    <col min="1742" max="1742" width="12.42578125" style="148" bestFit="1" customWidth="1"/>
    <col min="1743" max="1971" width="9.140625" style="148"/>
    <col min="1972" max="1972" width="49.42578125" style="148" customWidth="1"/>
    <col min="1973" max="1973" width="13.85546875" style="148" bestFit="1" customWidth="1"/>
    <col min="1974" max="1974" width="13.85546875" style="148" customWidth="1"/>
    <col min="1975" max="1975" width="9.5703125" style="148" bestFit="1" customWidth="1"/>
    <col min="1976" max="1976" width="12.140625" style="148" bestFit="1" customWidth="1"/>
    <col min="1977" max="1977" width="13.42578125" style="148" customWidth="1"/>
    <col min="1978" max="1978" width="13.28515625" style="148" customWidth="1"/>
    <col min="1979" max="1979" width="12.28515625" style="148" customWidth="1"/>
    <col min="1980" max="1980" width="11.7109375" style="148" bestFit="1" customWidth="1"/>
    <col min="1981" max="1981" width="9.7109375" style="148" bestFit="1" customWidth="1"/>
    <col min="1982" max="1982" width="11.85546875" style="148" customWidth="1"/>
    <col min="1983" max="1983" width="13.28515625" style="148" customWidth="1"/>
    <col min="1984" max="1984" width="12.85546875" style="148" customWidth="1"/>
    <col min="1985" max="1985" width="36" style="148" customWidth="1"/>
    <col min="1986" max="1986" width="11" style="148" customWidth="1"/>
    <col min="1987" max="1987" width="12" style="148" customWidth="1"/>
    <col min="1988" max="1988" width="9.140625" style="148"/>
    <col min="1989" max="1989" width="12.28515625" style="148" customWidth="1"/>
    <col min="1990" max="1990" width="10.140625" style="148" bestFit="1" customWidth="1"/>
    <col min="1991" max="1991" width="12" style="148" customWidth="1"/>
    <col min="1992" max="1992" width="12.5703125" style="148" bestFit="1" customWidth="1"/>
    <col min="1993" max="1993" width="10.42578125" style="148" customWidth="1"/>
    <col min="1994" max="1994" width="9.140625" style="148"/>
    <col min="1995" max="1995" width="11.5703125" style="148" customWidth="1"/>
    <col min="1996" max="1996" width="11.42578125" style="148" customWidth="1"/>
    <col min="1997" max="1997" width="11.5703125" style="148" customWidth="1"/>
    <col min="1998" max="1998" width="12.42578125" style="148" bestFit="1" customWidth="1"/>
    <col min="1999" max="2227" width="9.140625" style="148"/>
    <col min="2228" max="2228" width="49.42578125" style="148" customWidth="1"/>
    <col min="2229" max="2229" width="13.85546875" style="148" bestFit="1" customWidth="1"/>
    <col min="2230" max="2230" width="13.85546875" style="148" customWidth="1"/>
    <col min="2231" max="2231" width="9.5703125" style="148" bestFit="1" customWidth="1"/>
    <col min="2232" max="2232" width="12.140625" style="148" bestFit="1" customWidth="1"/>
    <col min="2233" max="2233" width="13.42578125" style="148" customWidth="1"/>
    <col min="2234" max="2234" width="13.28515625" style="148" customWidth="1"/>
    <col min="2235" max="2235" width="12.28515625" style="148" customWidth="1"/>
    <col min="2236" max="2236" width="11.7109375" style="148" bestFit="1" customWidth="1"/>
    <col min="2237" max="2237" width="9.7109375" style="148" bestFit="1" customWidth="1"/>
    <col min="2238" max="2238" width="11.85546875" style="148" customWidth="1"/>
    <col min="2239" max="2239" width="13.28515625" style="148" customWidth="1"/>
    <col min="2240" max="2240" width="12.85546875" style="148" customWidth="1"/>
    <col min="2241" max="2241" width="36" style="148" customWidth="1"/>
    <col min="2242" max="2242" width="11" style="148" customWidth="1"/>
    <col min="2243" max="2243" width="12" style="148" customWidth="1"/>
    <col min="2244" max="2244" width="9.140625" style="148"/>
    <col min="2245" max="2245" width="12.28515625" style="148" customWidth="1"/>
    <col min="2246" max="2246" width="10.140625" style="148" bestFit="1" customWidth="1"/>
    <col min="2247" max="2247" width="12" style="148" customWidth="1"/>
    <col min="2248" max="2248" width="12.5703125" style="148" bestFit="1" customWidth="1"/>
    <col min="2249" max="2249" width="10.42578125" style="148" customWidth="1"/>
    <col min="2250" max="2250" width="9.140625" style="148"/>
    <col min="2251" max="2251" width="11.5703125" style="148" customWidth="1"/>
    <col min="2252" max="2252" width="11.42578125" style="148" customWidth="1"/>
    <col min="2253" max="2253" width="11.5703125" style="148" customWidth="1"/>
    <col min="2254" max="2254" width="12.42578125" style="148" bestFit="1" customWidth="1"/>
    <col min="2255" max="2483" width="9.140625" style="148"/>
    <col min="2484" max="2484" width="49.42578125" style="148" customWidth="1"/>
    <col min="2485" max="2485" width="13.85546875" style="148" bestFit="1" customWidth="1"/>
    <col min="2486" max="2486" width="13.85546875" style="148" customWidth="1"/>
    <col min="2487" max="2487" width="9.5703125" style="148" bestFit="1" customWidth="1"/>
    <col min="2488" max="2488" width="12.140625" style="148" bestFit="1" customWidth="1"/>
    <col min="2489" max="2489" width="13.42578125" style="148" customWidth="1"/>
    <col min="2490" max="2490" width="13.28515625" style="148" customWidth="1"/>
    <col min="2491" max="2491" width="12.28515625" style="148" customWidth="1"/>
    <col min="2492" max="2492" width="11.7109375" style="148" bestFit="1" customWidth="1"/>
    <col min="2493" max="2493" width="9.7109375" style="148" bestFit="1" customWidth="1"/>
    <col min="2494" max="2494" width="11.85546875" style="148" customWidth="1"/>
    <col min="2495" max="2495" width="13.28515625" style="148" customWidth="1"/>
    <col min="2496" max="2496" width="12.85546875" style="148" customWidth="1"/>
    <col min="2497" max="2497" width="36" style="148" customWidth="1"/>
    <col min="2498" max="2498" width="11" style="148" customWidth="1"/>
    <col min="2499" max="2499" width="12" style="148" customWidth="1"/>
    <col min="2500" max="2500" width="9.140625" style="148"/>
    <col min="2501" max="2501" width="12.28515625" style="148" customWidth="1"/>
    <col min="2502" max="2502" width="10.140625" style="148" bestFit="1" customWidth="1"/>
    <col min="2503" max="2503" width="12" style="148" customWidth="1"/>
    <col min="2504" max="2504" width="12.5703125" style="148" bestFit="1" customWidth="1"/>
    <col min="2505" max="2505" width="10.42578125" style="148" customWidth="1"/>
    <col min="2506" max="2506" width="9.140625" style="148"/>
    <col min="2507" max="2507" width="11.5703125" style="148" customWidth="1"/>
    <col min="2508" max="2508" width="11.42578125" style="148" customWidth="1"/>
    <col min="2509" max="2509" width="11.5703125" style="148" customWidth="1"/>
    <col min="2510" max="2510" width="12.42578125" style="148" bestFit="1" customWidth="1"/>
    <col min="2511" max="2739" width="9.140625" style="148"/>
    <col min="2740" max="2740" width="49.42578125" style="148" customWidth="1"/>
    <col min="2741" max="2741" width="13.85546875" style="148" bestFit="1" customWidth="1"/>
    <col min="2742" max="2742" width="13.85546875" style="148" customWidth="1"/>
    <col min="2743" max="2743" width="9.5703125" style="148" bestFit="1" customWidth="1"/>
    <col min="2744" max="2744" width="12.140625" style="148" bestFit="1" customWidth="1"/>
    <col min="2745" max="2745" width="13.42578125" style="148" customWidth="1"/>
    <col min="2746" max="2746" width="13.28515625" style="148" customWidth="1"/>
    <col min="2747" max="2747" width="12.28515625" style="148" customWidth="1"/>
    <col min="2748" max="2748" width="11.7109375" style="148" bestFit="1" customWidth="1"/>
    <col min="2749" max="2749" width="9.7109375" style="148" bestFit="1" customWidth="1"/>
    <col min="2750" max="2750" width="11.85546875" style="148" customWidth="1"/>
    <col min="2751" max="2751" width="13.28515625" style="148" customWidth="1"/>
    <col min="2752" max="2752" width="12.85546875" style="148" customWidth="1"/>
    <col min="2753" max="2753" width="36" style="148" customWidth="1"/>
    <col min="2754" max="2754" width="11" style="148" customWidth="1"/>
    <col min="2755" max="2755" width="12" style="148" customWidth="1"/>
    <col min="2756" max="2756" width="9.140625" style="148"/>
    <col min="2757" max="2757" width="12.28515625" style="148" customWidth="1"/>
    <col min="2758" max="2758" width="10.140625" style="148" bestFit="1" customWidth="1"/>
    <col min="2759" max="2759" width="12" style="148" customWidth="1"/>
    <col min="2760" max="2760" width="12.5703125" style="148" bestFit="1" customWidth="1"/>
    <col min="2761" max="2761" width="10.42578125" style="148" customWidth="1"/>
    <col min="2762" max="2762" width="9.140625" style="148"/>
    <col min="2763" max="2763" width="11.5703125" style="148" customWidth="1"/>
    <col min="2764" max="2764" width="11.42578125" style="148" customWidth="1"/>
    <col min="2765" max="2765" width="11.5703125" style="148" customWidth="1"/>
    <col min="2766" max="2766" width="12.42578125" style="148" bestFit="1" customWidth="1"/>
    <col min="2767" max="2995" width="9.140625" style="148"/>
    <col min="2996" max="2996" width="49.42578125" style="148" customWidth="1"/>
    <col min="2997" max="2997" width="13.85546875" style="148" bestFit="1" customWidth="1"/>
    <col min="2998" max="2998" width="13.85546875" style="148" customWidth="1"/>
    <col min="2999" max="2999" width="9.5703125" style="148" bestFit="1" customWidth="1"/>
    <col min="3000" max="3000" width="12.140625" style="148" bestFit="1" customWidth="1"/>
    <col min="3001" max="3001" width="13.42578125" style="148" customWidth="1"/>
    <col min="3002" max="3002" width="13.28515625" style="148" customWidth="1"/>
    <col min="3003" max="3003" width="12.28515625" style="148" customWidth="1"/>
    <col min="3004" max="3004" width="11.7109375" style="148" bestFit="1" customWidth="1"/>
    <col min="3005" max="3005" width="9.7109375" style="148" bestFit="1" customWidth="1"/>
    <col min="3006" max="3006" width="11.85546875" style="148" customWidth="1"/>
    <col min="3007" max="3007" width="13.28515625" style="148" customWidth="1"/>
    <col min="3008" max="3008" width="12.85546875" style="148" customWidth="1"/>
    <col min="3009" max="3009" width="36" style="148" customWidth="1"/>
    <col min="3010" max="3010" width="11" style="148" customWidth="1"/>
    <col min="3011" max="3011" width="12" style="148" customWidth="1"/>
    <col min="3012" max="3012" width="9.140625" style="148"/>
    <col min="3013" max="3013" width="12.28515625" style="148" customWidth="1"/>
    <col min="3014" max="3014" width="10.140625" style="148" bestFit="1" customWidth="1"/>
    <col min="3015" max="3015" width="12" style="148" customWidth="1"/>
    <col min="3016" max="3016" width="12.5703125" style="148" bestFit="1" customWidth="1"/>
    <col min="3017" max="3017" width="10.42578125" style="148" customWidth="1"/>
    <col min="3018" max="3018" width="9.140625" style="148"/>
    <col min="3019" max="3019" width="11.5703125" style="148" customWidth="1"/>
    <col min="3020" max="3020" width="11.42578125" style="148" customWidth="1"/>
    <col min="3021" max="3021" width="11.5703125" style="148" customWidth="1"/>
    <col min="3022" max="3022" width="12.42578125" style="148" bestFit="1" customWidth="1"/>
    <col min="3023" max="3251" width="9.140625" style="148"/>
    <col min="3252" max="3252" width="49.42578125" style="148" customWidth="1"/>
    <col min="3253" max="3253" width="13.85546875" style="148" bestFit="1" customWidth="1"/>
    <col min="3254" max="3254" width="13.85546875" style="148" customWidth="1"/>
    <col min="3255" max="3255" width="9.5703125" style="148" bestFit="1" customWidth="1"/>
    <col min="3256" max="3256" width="12.140625" style="148" bestFit="1" customWidth="1"/>
    <col min="3257" max="3257" width="13.42578125" style="148" customWidth="1"/>
    <col min="3258" max="3258" width="13.28515625" style="148" customWidth="1"/>
    <col min="3259" max="3259" width="12.28515625" style="148" customWidth="1"/>
    <col min="3260" max="3260" width="11.7109375" style="148" bestFit="1" customWidth="1"/>
    <col min="3261" max="3261" width="9.7109375" style="148" bestFit="1" customWidth="1"/>
    <col min="3262" max="3262" width="11.85546875" style="148" customWidth="1"/>
    <col min="3263" max="3263" width="13.28515625" style="148" customWidth="1"/>
    <col min="3264" max="3264" width="12.85546875" style="148" customWidth="1"/>
    <col min="3265" max="3265" width="36" style="148" customWidth="1"/>
    <col min="3266" max="3266" width="11" style="148" customWidth="1"/>
    <col min="3267" max="3267" width="12" style="148" customWidth="1"/>
    <col min="3268" max="3268" width="9.140625" style="148"/>
    <col min="3269" max="3269" width="12.28515625" style="148" customWidth="1"/>
    <col min="3270" max="3270" width="10.140625" style="148" bestFit="1" customWidth="1"/>
    <col min="3271" max="3271" width="12" style="148" customWidth="1"/>
    <col min="3272" max="3272" width="12.5703125" style="148" bestFit="1" customWidth="1"/>
    <col min="3273" max="3273" width="10.42578125" style="148" customWidth="1"/>
    <col min="3274" max="3274" width="9.140625" style="148"/>
    <col min="3275" max="3275" width="11.5703125" style="148" customWidth="1"/>
    <col min="3276" max="3276" width="11.42578125" style="148" customWidth="1"/>
    <col min="3277" max="3277" width="11.5703125" style="148" customWidth="1"/>
    <col min="3278" max="3278" width="12.42578125" style="148" bestFit="1" customWidth="1"/>
    <col min="3279" max="3507" width="9.140625" style="148"/>
    <col min="3508" max="3508" width="49.42578125" style="148" customWidth="1"/>
    <col min="3509" max="3509" width="13.85546875" style="148" bestFit="1" customWidth="1"/>
    <col min="3510" max="3510" width="13.85546875" style="148" customWidth="1"/>
    <col min="3511" max="3511" width="9.5703125" style="148" bestFit="1" customWidth="1"/>
    <col min="3512" max="3512" width="12.140625" style="148" bestFit="1" customWidth="1"/>
    <col min="3513" max="3513" width="13.42578125" style="148" customWidth="1"/>
    <col min="3514" max="3514" width="13.28515625" style="148" customWidth="1"/>
    <col min="3515" max="3515" width="12.28515625" style="148" customWidth="1"/>
    <col min="3516" max="3516" width="11.7109375" style="148" bestFit="1" customWidth="1"/>
    <col min="3517" max="3517" width="9.7109375" style="148" bestFit="1" customWidth="1"/>
    <col min="3518" max="3518" width="11.85546875" style="148" customWidth="1"/>
    <col min="3519" max="3519" width="13.28515625" style="148" customWidth="1"/>
    <col min="3520" max="3520" width="12.85546875" style="148" customWidth="1"/>
    <col min="3521" max="3521" width="36" style="148" customWidth="1"/>
    <col min="3522" max="3522" width="11" style="148" customWidth="1"/>
    <col min="3523" max="3523" width="12" style="148" customWidth="1"/>
    <col min="3524" max="3524" width="9.140625" style="148"/>
    <col min="3525" max="3525" width="12.28515625" style="148" customWidth="1"/>
    <col min="3526" max="3526" width="10.140625" style="148" bestFit="1" customWidth="1"/>
    <col min="3527" max="3527" width="12" style="148" customWidth="1"/>
    <col min="3528" max="3528" width="12.5703125" style="148" bestFit="1" customWidth="1"/>
    <col min="3529" max="3529" width="10.42578125" style="148" customWidth="1"/>
    <col min="3530" max="3530" width="9.140625" style="148"/>
    <col min="3531" max="3531" width="11.5703125" style="148" customWidth="1"/>
    <col min="3532" max="3532" width="11.42578125" style="148" customWidth="1"/>
    <col min="3533" max="3533" width="11.5703125" style="148" customWidth="1"/>
    <col min="3534" max="3534" width="12.42578125" style="148" bestFit="1" customWidth="1"/>
    <col min="3535" max="3763" width="9.140625" style="148"/>
    <col min="3764" max="3764" width="49.42578125" style="148" customWidth="1"/>
    <col min="3765" max="3765" width="13.85546875" style="148" bestFit="1" customWidth="1"/>
    <col min="3766" max="3766" width="13.85546875" style="148" customWidth="1"/>
    <col min="3767" max="3767" width="9.5703125" style="148" bestFit="1" customWidth="1"/>
    <col min="3768" max="3768" width="12.140625" style="148" bestFit="1" customWidth="1"/>
    <col min="3769" max="3769" width="13.42578125" style="148" customWidth="1"/>
    <col min="3770" max="3770" width="13.28515625" style="148" customWidth="1"/>
    <col min="3771" max="3771" width="12.28515625" style="148" customWidth="1"/>
    <col min="3772" max="3772" width="11.7109375" style="148" bestFit="1" customWidth="1"/>
    <col min="3773" max="3773" width="9.7109375" style="148" bestFit="1" customWidth="1"/>
    <col min="3774" max="3774" width="11.85546875" style="148" customWidth="1"/>
    <col min="3775" max="3775" width="13.28515625" style="148" customWidth="1"/>
    <col min="3776" max="3776" width="12.85546875" style="148" customWidth="1"/>
    <col min="3777" max="3777" width="36" style="148" customWidth="1"/>
    <col min="3778" max="3778" width="11" style="148" customWidth="1"/>
    <col min="3779" max="3779" width="12" style="148" customWidth="1"/>
    <col min="3780" max="3780" width="9.140625" style="148"/>
    <col min="3781" max="3781" width="12.28515625" style="148" customWidth="1"/>
    <col min="3782" max="3782" width="10.140625" style="148" bestFit="1" customWidth="1"/>
    <col min="3783" max="3783" width="12" style="148" customWidth="1"/>
    <col min="3784" max="3784" width="12.5703125" style="148" bestFit="1" customWidth="1"/>
    <col min="3785" max="3785" width="10.42578125" style="148" customWidth="1"/>
    <col min="3786" max="3786" width="9.140625" style="148"/>
    <col min="3787" max="3787" width="11.5703125" style="148" customWidth="1"/>
    <col min="3788" max="3788" width="11.42578125" style="148" customWidth="1"/>
    <col min="3789" max="3789" width="11.5703125" style="148" customWidth="1"/>
    <col min="3790" max="3790" width="12.42578125" style="148" bestFit="1" customWidth="1"/>
    <col min="3791" max="4019" width="9.140625" style="148"/>
    <col min="4020" max="4020" width="49.42578125" style="148" customWidth="1"/>
    <col min="4021" max="4021" width="13.85546875" style="148" bestFit="1" customWidth="1"/>
    <col min="4022" max="4022" width="13.85546875" style="148" customWidth="1"/>
    <col min="4023" max="4023" width="9.5703125" style="148" bestFit="1" customWidth="1"/>
    <col min="4024" max="4024" width="12.140625" style="148" bestFit="1" customWidth="1"/>
    <col min="4025" max="4025" width="13.42578125" style="148" customWidth="1"/>
    <col min="4026" max="4026" width="13.28515625" style="148" customWidth="1"/>
    <col min="4027" max="4027" width="12.28515625" style="148" customWidth="1"/>
    <col min="4028" max="4028" width="11.7109375" style="148" bestFit="1" customWidth="1"/>
    <col min="4029" max="4029" width="9.7109375" style="148" bestFit="1" customWidth="1"/>
    <col min="4030" max="4030" width="11.85546875" style="148" customWidth="1"/>
    <col min="4031" max="4031" width="13.28515625" style="148" customWidth="1"/>
    <col min="4032" max="4032" width="12.85546875" style="148" customWidth="1"/>
    <col min="4033" max="4033" width="36" style="148" customWidth="1"/>
    <col min="4034" max="4034" width="11" style="148" customWidth="1"/>
    <col min="4035" max="4035" width="12" style="148" customWidth="1"/>
    <col min="4036" max="4036" width="9.140625" style="148"/>
    <col min="4037" max="4037" width="12.28515625" style="148" customWidth="1"/>
    <col min="4038" max="4038" width="10.140625" style="148" bestFit="1" customWidth="1"/>
    <col min="4039" max="4039" width="12" style="148" customWidth="1"/>
    <col min="4040" max="4040" width="12.5703125" style="148" bestFit="1" customWidth="1"/>
    <col min="4041" max="4041" width="10.42578125" style="148" customWidth="1"/>
    <col min="4042" max="4042" width="9.140625" style="148"/>
    <col min="4043" max="4043" width="11.5703125" style="148" customWidth="1"/>
    <col min="4044" max="4044" width="11.42578125" style="148" customWidth="1"/>
    <col min="4045" max="4045" width="11.5703125" style="148" customWidth="1"/>
    <col min="4046" max="4046" width="12.42578125" style="148" bestFit="1" customWidth="1"/>
    <col min="4047" max="4275" width="9.140625" style="148"/>
    <col min="4276" max="4276" width="49.42578125" style="148" customWidth="1"/>
    <col min="4277" max="4277" width="13.85546875" style="148" bestFit="1" customWidth="1"/>
    <col min="4278" max="4278" width="13.85546875" style="148" customWidth="1"/>
    <col min="4279" max="4279" width="9.5703125" style="148" bestFit="1" customWidth="1"/>
    <col min="4280" max="4280" width="12.140625" style="148" bestFit="1" customWidth="1"/>
    <col min="4281" max="4281" width="13.42578125" style="148" customWidth="1"/>
    <col min="4282" max="4282" width="13.28515625" style="148" customWidth="1"/>
    <col min="4283" max="4283" width="12.28515625" style="148" customWidth="1"/>
    <col min="4284" max="4284" width="11.7109375" style="148" bestFit="1" customWidth="1"/>
    <col min="4285" max="4285" width="9.7109375" style="148" bestFit="1" customWidth="1"/>
    <col min="4286" max="4286" width="11.85546875" style="148" customWidth="1"/>
    <col min="4287" max="4287" width="13.28515625" style="148" customWidth="1"/>
    <col min="4288" max="4288" width="12.85546875" style="148" customWidth="1"/>
    <col min="4289" max="4289" width="36" style="148" customWidth="1"/>
    <col min="4290" max="4290" width="11" style="148" customWidth="1"/>
    <col min="4291" max="4291" width="12" style="148" customWidth="1"/>
    <col min="4292" max="4292" width="9.140625" style="148"/>
    <col min="4293" max="4293" width="12.28515625" style="148" customWidth="1"/>
    <col min="4294" max="4294" width="10.140625" style="148" bestFit="1" customWidth="1"/>
    <col min="4295" max="4295" width="12" style="148" customWidth="1"/>
    <col min="4296" max="4296" width="12.5703125" style="148" bestFit="1" customWidth="1"/>
    <col min="4297" max="4297" width="10.42578125" style="148" customWidth="1"/>
    <col min="4298" max="4298" width="9.140625" style="148"/>
    <col min="4299" max="4299" width="11.5703125" style="148" customWidth="1"/>
    <col min="4300" max="4300" width="11.42578125" style="148" customWidth="1"/>
    <col min="4301" max="4301" width="11.5703125" style="148" customWidth="1"/>
    <col min="4302" max="4302" width="12.42578125" style="148" bestFit="1" customWidth="1"/>
    <col min="4303" max="4531" width="9.140625" style="148"/>
    <col min="4532" max="4532" width="49.42578125" style="148" customWidth="1"/>
    <col min="4533" max="4533" width="13.85546875" style="148" bestFit="1" customWidth="1"/>
    <col min="4534" max="4534" width="13.85546875" style="148" customWidth="1"/>
    <col min="4535" max="4535" width="9.5703125" style="148" bestFit="1" customWidth="1"/>
    <col min="4536" max="4536" width="12.140625" style="148" bestFit="1" customWidth="1"/>
    <col min="4537" max="4537" width="13.42578125" style="148" customWidth="1"/>
    <col min="4538" max="4538" width="13.28515625" style="148" customWidth="1"/>
    <col min="4539" max="4539" width="12.28515625" style="148" customWidth="1"/>
    <col min="4540" max="4540" width="11.7109375" style="148" bestFit="1" customWidth="1"/>
    <col min="4541" max="4541" width="9.7109375" style="148" bestFit="1" customWidth="1"/>
    <col min="4542" max="4542" width="11.85546875" style="148" customWidth="1"/>
    <col min="4543" max="4543" width="13.28515625" style="148" customWidth="1"/>
    <col min="4544" max="4544" width="12.85546875" style="148" customWidth="1"/>
    <col min="4545" max="4545" width="36" style="148" customWidth="1"/>
    <col min="4546" max="4546" width="11" style="148" customWidth="1"/>
    <col min="4547" max="4547" width="12" style="148" customWidth="1"/>
    <col min="4548" max="4548" width="9.140625" style="148"/>
    <col min="4549" max="4549" width="12.28515625" style="148" customWidth="1"/>
    <col min="4550" max="4550" width="10.140625" style="148" bestFit="1" customWidth="1"/>
    <col min="4551" max="4551" width="12" style="148" customWidth="1"/>
    <col min="4552" max="4552" width="12.5703125" style="148" bestFit="1" customWidth="1"/>
    <col min="4553" max="4553" width="10.42578125" style="148" customWidth="1"/>
    <col min="4554" max="4554" width="9.140625" style="148"/>
    <col min="4555" max="4555" width="11.5703125" style="148" customWidth="1"/>
    <col min="4556" max="4556" width="11.42578125" style="148" customWidth="1"/>
    <col min="4557" max="4557" width="11.5703125" style="148" customWidth="1"/>
    <col min="4558" max="4558" width="12.42578125" style="148" bestFit="1" customWidth="1"/>
    <col min="4559" max="4787" width="9.140625" style="148"/>
    <col min="4788" max="4788" width="49.42578125" style="148" customWidth="1"/>
    <col min="4789" max="4789" width="13.85546875" style="148" bestFit="1" customWidth="1"/>
    <col min="4790" max="4790" width="13.85546875" style="148" customWidth="1"/>
    <col min="4791" max="4791" width="9.5703125" style="148" bestFit="1" customWidth="1"/>
    <col min="4792" max="4792" width="12.140625" style="148" bestFit="1" customWidth="1"/>
    <col min="4793" max="4793" width="13.42578125" style="148" customWidth="1"/>
    <col min="4794" max="4794" width="13.28515625" style="148" customWidth="1"/>
    <col min="4795" max="4795" width="12.28515625" style="148" customWidth="1"/>
    <col min="4796" max="4796" width="11.7109375" style="148" bestFit="1" customWidth="1"/>
    <col min="4797" max="4797" width="9.7109375" style="148" bestFit="1" customWidth="1"/>
    <col min="4798" max="4798" width="11.85546875" style="148" customWidth="1"/>
    <col min="4799" max="4799" width="13.28515625" style="148" customWidth="1"/>
    <col min="4800" max="4800" width="12.85546875" style="148" customWidth="1"/>
    <col min="4801" max="4801" width="36" style="148" customWidth="1"/>
    <col min="4802" max="4802" width="11" style="148" customWidth="1"/>
    <col min="4803" max="4803" width="12" style="148" customWidth="1"/>
    <col min="4804" max="4804" width="9.140625" style="148"/>
    <col min="4805" max="4805" width="12.28515625" style="148" customWidth="1"/>
    <col min="4806" max="4806" width="10.140625" style="148" bestFit="1" customWidth="1"/>
    <col min="4807" max="4807" width="12" style="148" customWidth="1"/>
    <col min="4808" max="4808" width="12.5703125" style="148" bestFit="1" customWidth="1"/>
    <col min="4809" max="4809" width="10.42578125" style="148" customWidth="1"/>
    <col min="4810" max="4810" width="9.140625" style="148"/>
    <col min="4811" max="4811" width="11.5703125" style="148" customWidth="1"/>
    <col min="4812" max="4812" width="11.42578125" style="148" customWidth="1"/>
    <col min="4813" max="4813" width="11.5703125" style="148" customWidth="1"/>
    <col min="4814" max="4814" width="12.42578125" style="148" bestFit="1" customWidth="1"/>
    <col min="4815" max="5043" width="9.140625" style="148"/>
    <col min="5044" max="5044" width="49.42578125" style="148" customWidth="1"/>
    <col min="5045" max="5045" width="13.85546875" style="148" bestFit="1" customWidth="1"/>
    <col min="5046" max="5046" width="13.85546875" style="148" customWidth="1"/>
    <col min="5047" max="5047" width="9.5703125" style="148" bestFit="1" customWidth="1"/>
    <col min="5048" max="5048" width="12.140625" style="148" bestFit="1" customWidth="1"/>
    <col min="5049" max="5049" width="13.42578125" style="148" customWidth="1"/>
    <col min="5050" max="5050" width="13.28515625" style="148" customWidth="1"/>
    <col min="5051" max="5051" width="12.28515625" style="148" customWidth="1"/>
    <col min="5052" max="5052" width="11.7109375" style="148" bestFit="1" customWidth="1"/>
    <col min="5053" max="5053" width="9.7109375" style="148" bestFit="1" customWidth="1"/>
    <col min="5054" max="5054" width="11.85546875" style="148" customWidth="1"/>
    <col min="5055" max="5055" width="13.28515625" style="148" customWidth="1"/>
    <col min="5056" max="5056" width="12.85546875" style="148" customWidth="1"/>
    <col min="5057" max="5057" width="36" style="148" customWidth="1"/>
    <col min="5058" max="5058" width="11" style="148" customWidth="1"/>
    <col min="5059" max="5059" width="12" style="148" customWidth="1"/>
    <col min="5060" max="5060" width="9.140625" style="148"/>
    <col min="5061" max="5061" width="12.28515625" style="148" customWidth="1"/>
    <col min="5062" max="5062" width="10.140625" style="148" bestFit="1" customWidth="1"/>
    <col min="5063" max="5063" width="12" style="148" customWidth="1"/>
    <col min="5064" max="5064" width="12.5703125" style="148" bestFit="1" customWidth="1"/>
    <col min="5065" max="5065" width="10.42578125" style="148" customWidth="1"/>
    <col min="5066" max="5066" width="9.140625" style="148"/>
    <col min="5067" max="5067" width="11.5703125" style="148" customWidth="1"/>
    <col min="5068" max="5068" width="11.42578125" style="148" customWidth="1"/>
    <col min="5069" max="5069" width="11.5703125" style="148" customWidth="1"/>
    <col min="5070" max="5070" width="12.42578125" style="148" bestFit="1" customWidth="1"/>
    <col min="5071" max="5299" width="9.140625" style="148"/>
    <col min="5300" max="5300" width="49.42578125" style="148" customWidth="1"/>
    <col min="5301" max="5301" width="13.85546875" style="148" bestFit="1" customWidth="1"/>
    <col min="5302" max="5302" width="13.85546875" style="148" customWidth="1"/>
    <col min="5303" max="5303" width="9.5703125" style="148" bestFit="1" customWidth="1"/>
    <col min="5304" max="5304" width="12.140625" style="148" bestFit="1" customWidth="1"/>
    <col min="5305" max="5305" width="13.42578125" style="148" customWidth="1"/>
    <col min="5306" max="5306" width="13.28515625" style="148" customWidth="1"/>
    <col min="5307" max="5307" width="12.28515625" style="148" customWidth="1"/>
    <col min="5308" max="5308" width="11.7109375" style="148" bestFit="1" customWidth="1"/>
    <col min="5309" max="5309" width="9.7109375" style="148" bestFit="1" customWidth="1"/>
    <col min="5310" max="5310" width="11.85546875" style="148" customWidth="1"/>
    <col min="5311" max="5311" width="13.28515625" style="148" customWidth="1"/>
    <col min="5312" max="5312" width="12.85546875" style="148" customWidth="1"/>
    <col min="5313" max="5313" width="36" style="148" customWidth="1"/>
    <col min="5314" max="5314" width="11" style="148" customWidth="1"/>
    <col min="5315" max="5315" width="12" style="148" customWidth="1"/>
    <col min="5316" max="5316" width="9.140625" style="148"/>
    <col min="5317" max="5317" width="12.28515625" style="148" customWidth="1"/>
    <col min="5318" max="5318" width="10.140625" style="148" bestFit="1" customWidth="1"/>
    <col min="5319" max="5319" width="12" style="148" customWidth="1"/>
    <col min="5320" max="5320" width="12.5703125" style="148" bestFit="1" customWidth="1"/>
    <col min="5321" max="5321" width="10.42578125" style="148" customWidth="1"/>
    <col min="5322" max="5322" width="9.140625" style="148"/>
    <col min="5323" max="5323" width="11.5703125" style="148" customWidth="1"/>
    <col min="5324" max="5324" width="11.42578125" style="148" customWidth="1"/>
    <col min="5325" max="5325" width="11.5703125" style="148" customWidth="1"/>
    <col min="5326" max="5326" width="12.42578125" style="148" bestFit="1" customWidth="1"/>
    <col min="5327" max="5555" width="9.140625" style="148"/>
    <col min="5556" max="5556" width="49.42578125" style="148" customWidth="1"/>
    <col min="5557" max="5557" width="13.85546875" style="148" bestFit="1" customWidth="1"/>
    <col min="5558" max="5558" width="13.85546875" style="148" customWidth="1"/>
    <col min="5559" max="5559" width="9.5703125" style="148" bestFit="1" customWidth="1"/>
    <col min="5560" max="5560" width="12.140625" style="148" bestFit="1" customWidth="1"/>
    <col min="5561" max="5561" width="13.42578125" style="148" customWidth="1"/>
    <col min="5562" max="5562" width="13.28515625" style="148" customWidth="1"/>
    <col min="5563" max="5563" width="12.28515625" style="148" customWidth="1"/>
    <col min="5564" max="5564" width="11.7109375" style="148" bestFit="1" customWidth="1"/>
    <col min="5565" max="5565" width="9.7109375" style="148" bestFit="1" customWidth="1"/>
    <col min="5566" max="5566" width="11.85546875" style="148" customWidth="1"/>
    <col min="5567" max="5567" width="13.28515625" style="148" customWidth="1"/>
    <col min="5568" max="5568" width="12.85546875" style="148" customWidth="1"/>
    <col min="5569" max="5569" width="36" style="148" customWidth="1"/>
    <col min="5570" max="5570" width="11" style="148" customWidth="1"/>
    <col min="5571" max="5571" width="12" style="148" customWidth="1"/>
    <col min="5572" max="5572" width="9.140625" style="148"/>
    <col min="5573" max="5573" width="12.28515625" style="148" customWidth="1"/>
    <col min="5574" max="5574" width="10.140625" style="148" bestFit="1" customWidth="1"/>
    <col min="5575" max="5575" width="12" style="148" customWidth="1"/>
    <col min="5576" max="5576" width="12.5703125" style="148" bestFit="1" customWidth="1"/>
    <col min="5577" max="5577" width="10.42578125" style="148" customWidth="1"/>
    <col min="5578" max="5578" width="9.140625" style="148"/>
    <col min="5579" max="5579" width="11.5703125" style="148" customWidth="1"/>
    <col min="5580" max="5580" width="11.42578125" style="148" customWidth="1"/>
    <col min="5581" max="5581" width="11.5703125" style="148" customWidth="1"/>
    <col min="5582" max="5582" width="12.42578125" style="148" bestFit="1" customWidth="1"/>
    <col min="5583" max="5811" width="9.140625" style="148"/>
    <col min="5812" max="5812" width="49.42578125" style="148" customWidth="1"/>
    <col min="5813" max="5813" width="13.85546875" style="148" bestFit="1" customWidth="1"/>
    <col min="5814" max="5814" width="13.85546875" style="148" customWidth="1"/>
    <col min="5815" max="5815" width="9.5703125" style="148" bestFit="1" customWidth="1"/>
    <col min="5816" max="5816" width="12.140625" style="148" bestFit="1" customWidth="1"/>
    <col min="5817" max="5817" width="13.42578125" style="148" customWidth="1"/>
    <col min="5818" max="5818" width="13.28515625" style="148" customWidth="1"/>
    <col min="5819" max="5819" width="12.28515625" style="148" customWidth="1"/>
    <col min="5820" max="5820" width="11.7109375" style="148" bestFit="1" customWidth="1"/>
    <col min="5821" max="5821" width="9.7109375" style="148" bestFit="1" customWidth="1"/>
    <col min="5822" max="5822" width="11.85546875" style="148" customWidth="1"/>
    <col min="5823" max="5823" width="13.28515625" style="148" customWidth="1"/>
    <col min="5824" max="5824" width="12.85546875" style="148" customWidth="1"/>
    <col min="5825" max="5825" width="36" style="148" customWidth="1"/>
    <col min="5826" max="5826" width="11" style="148" customWidth="1"/>
    <col min="5827" max="5827" width="12" style="148" customWidth="1"/>
    <col min="5828" max="5828" width="9.140625" style="148"/>
    <col min="5829" max="5829" width="12.28515625" style="148" customWidth="1"/>
    <col min="5830" max="5830" width="10.140625" style="148" bestFit="1" customWidth="1"/>
    <col min="5831" max="5831" width="12" style="148" customWidth="1"/>
    <col min="5832" max="5832" width="12.5703125" style="148" bestFit="1" customWidth="1"/>
    <col min="5833" max="5833" width="10.42578125" style="148" customWidth="1"/>
    <col min="5834" max="5834" width="9.140625" style="148"/>
    <col min="5835" max="5835" width="11.5703125" style="148" customWidth="1"/>
    <col min="5836" max="5836" width="11.42578125" style="148" customWidth="1"/>
    <col min="5837" max="5837" width="11.5703125" style="148" customWidth="1"/>
    <col min="5838" max="5838" width="12.42578125" style="148" bestFit="1" customWidth="1"/>
    <col min="5839" max="6067" width="9.140625" style="148"/>
    <col min="6068" max="6068" width="49.42578125" style="148" customWidth="1"/>
    <col min="6069" max="6069" width="13.85546875" style="148" bestFit="1" customWidth="1"/>
    <col min="6070" max="6070" width="13.85546875" style="148" customWidth="1"/>
    <col min="6071" max="6071" width="9.5703125" style="148" bestFit="1" customWidth="1"/>
    <col min="6072" max="6072" width="12.140625" style="148" bestFit="1" customWidth="1"/>
    <col min="6073" max="6073" width="13.42578125" style="148" customWidth="1"/>
    <col min="6074" max="6074" width="13.28515625" style="148" customWidth="1"/>
    <col min="6075" max="6075" width="12.28515625" style="148" customWidth="1"/>
    <col min="6076" max="6076" width="11.7109375" style="148" bestFit="1" customWidth="1"/>
    <col min="6077" max="6077" width="9.7109375" style="148" bestFit="1" customWidth="1"/>
    <col min="6078" max="6078" width="11.85546875" style="148" customWidth="1"/>
    <col min="6079" max="6079" width="13.28515625" style="148" customWidth="1"/>
    <col min="6080" max="6080" width="12.85546875" style="148" customWidth="1"/>
    <col min="6081" max="6081" width="36" style="148" customWidth="1"/>
    <col min="6082" max="6082" width="11" style="148" customWidth="1"/>
    <col min="6083" max="6083" width="12" style="148" customWidth="1"/>
    <col min="6084" max="6084" width="9.140625" style="148"/>
    <col min="6085" max="6085" width="12.28515625" style="148" customWidth="1"/>
    <col min="6086" max="6086" width="10.140625" style="148" bestFit="1" customWidth="1"/>
    <col min="6087" max="6087" width="12" style="148" customWidth="1"/>
    <col min="6088" max="6088" width="12.5703125" style="148" bestFit="1" customWidth="1"/>
    <col min="6089" max="6089" width="10.42578125" style="148" customWidth="1"/>
    <col min="6090" max="6090" width="9.140625" style="148"/>
    <col min="6091" max="6091" width="11.5703125" style="148" customWidth="1"/>
    <col min="6092" max="6092" width="11.42578125" style="148" customWidth="1"/>
    <col min="6093" max="6093" width="11.5703125" style="148" customWidth="1"/>
    <col min="6094" max="6094" width="12.42578125" style="148" bestFit="1" customWidth="1"/>
    <col min="6095" max="6323" width="9.140625" style="148"/>
    <col min="6324" max="6324" width="49.42578125" style="148" customWidth="1"/>
    <col min="6325" max="6325" width="13.85546875" style="148" bestFit="1" customWidth="1"/>
    <col min="6326" max="6326" width="13.85546875" style="148" customWidth="1"/>
    <col min="6327" max="6327" width="9.5703125" style="148" bestFit="1" customWidth="1"/>
    <col min="6328" max="6328" width="12.140625" style="148" bestFit="1" customWidth="1"/>
    <col min="6329" max="6329" width="13.42578125" style="148" customWidth="1"/>
    <col min="6330" max="6330" width="13.28515625" style="148" customWidth="1"/>
    <col min="6331" max="6331" width="12.28515625" style="148" customWidth="1"/>
    <col min="6332" max="6332" width="11.7109375" style="148" bestFit="1" customWidth="1"/>
    <col min="6333" max="6333" width="9.7109375" style="148" bestFit="1" customWidth="1"/>
    <col min="6334" max="6334" width="11.85546875" style="148" customWidth="1"/>
    <col min="6335" max="6335" width="13.28515625" style="148" customWidth="1"/>
    <col min="6336" max="6336" width="12.85546875" style="148" customWidth="1"/>
    <col min="6337" max="6337" width="36" style="148" customWidth="1"/>
    <col min="6338" max="6338" width="11" style="148" customWidth="1"/>
    <col min="6339" max="6339" width="12" style="148" customWidth="1"/>
    <col min="6340" max="6340" width="9.140625" style="148"/>
    <col min="6341" max="6341" width="12.28515625" style="148" customWidth="1"/>
    <col min="6342" max="6342" width="10.140625" style="148" bestFit="1" customWidth="1"/>
    <col min="6343" max="6343" width="12" style="148" customWidth="1"/>
    <col min="6344" max="6344" width="12.5703125" style="148" bestFit="1" customWidth="1"/>
    <col min="6345" max="6345" width="10.42578125" style="148" customWidth="1"/>
    <col min="6346" max="6346" width="9.140625" style="148"/>
    <col min="6347" max="6347" width="11.5703125" style="148" customWidth="1"/>
    <col min="6348" max="6348" width="11.42578125" style="148" customWidth="1"/>
    <col min="6349" max="6349" width="11.5703125" style="148" customWidth="1"/>
    <col min="6350" max="6350" width="12.42578125" style="148" bestFit="1" customWidth="1"/>
    <col min="6351" max="6579" width="9.140625" style="148"/>
    <col min="6580" max="6580" width="49.42578125" style="148" customWidth="1"/>
    <col min="6581" max="6581" width="13.85546875" style="148" bestFit="1" customWidth="1"/>
    <col min="6582" max="6582" width="13.85546875" style="148" customWidth="1"/>
    <col min="6583" max="6583" width="9.5703125" style="148" bestFit="1" customWidth="1"/>
    <col min="6584" max="6584" width="12.140625" style="148" bestFit="1" customWidth="1"/>
    <col min="6585" max="6585" width="13.42578125" style="148" customWidth="1"/>
    <col min="6586" max="6586" width="13.28515625" style="148" customWidth="1"/>
    <col min="6587" max="6587" width="12.28515625" style="148" customWidth="1"/>
    <col min="6588" max="6588" width="11.7109375" style="148" bestFit="1" customWidth="1"/>
    <col min="6589" max="6589" width="9.7109375" style="148" bestFit="1" customWidth="1"/>
    <col min="6590" max="6590" width="11.85546875" style="148" customWidth="1"/>
    <col min="6591" max="6591" width="13.28515625" style="148" customWidth="1"/>
    <col min="6592" max="6592" width="12.85546875" style="148" customWidth="1"/>
    <col min="6593" max="6593" width="36" style="148" customWidth="1"/>
    <col min="6594" max="6594" width="11" style="148" customWidth="1"/>
    <col min="6595" max="6595" width="12" style="148" customWidth="1"/>
    <col min="6596" max="6596" width="9.140625" style="148"/>
    <col min="6597" max="6597" width="12.28515625" style="148" customWidth="1"/>
    <col min="6598" max="6598" width="10.140625" style="148" bestFit="1" customWidth="1"/>
    <col min="6599" max="6599" width="12" style="148" customWidth="1"/>
    <col min="6600" max="6600" width="12.5703125" style="148" bestFit="1" customWidth="1"/>
    <col min="6601" max="6601" width="10.42578125" style="148" customWidth="1"/>
    <col min="6602" max="6602" width="9.140625" style="148"/>
    <col min="6603" max="6603" width="11.5703125" style="148" customWidth="1"/>
    <col min="6604" max="6604" width="11.42578125" style="148" customWidth="1"/>
    <col min="6605" max="6605" width="11.5703125" style="148" customWidth="1"/>
    <col min="6606" max="6606" width="12.42578125" style="148" bestFit="1" customWidth="1"/>
    <col min="6607" max="6835" width="9.140625" style="148"/>
    <col min="6836" max="6836" width="49.42578125" style="148" customWidth="1"/>
    <col min="6837" max="6837" width="13.85546875" style="148" bestFit="1" customWidth="1"/>
    <col min="6838" max="6838" width="13.85546875" style="148" customWidth="1"/>
    <col min="6839" max="6839" width="9.5703125" style="148" bestFit="1" customWidth="1"/>
    <col min="6840" max="6840" width="12.140625" style="148" bestFit="1" customWidth="1"/>
    <col min="6841" max="6841" width="13.42578125" style="148" customWidth="1"/>
    <col min="6842" max="6842" width="13.28515625" style="148" customWidth="1"/>
    <col min="6843" max="6843" width="12.28515625" style="148" customWidth="1"/>
    <col min="6844" max="6844" width="11.7109375" style="148" bestFit="1" customWidth="1"/>
    <col min="6845" max="6845" width="9.7109375" style="148" bestFit="1" customWidth="1"/>
    <col min="6846" max="6846" width="11.85546875" style="148" customWidth="1"/>
    <col min="6847" max="6847" width="13.28515625" style="148" customWidth="1"/>
    <col min="6848" max="6848" width="12.85546875" style="148" customWidth="1"/>
    <col min="6849" max="6849" width="36" style="148" customWidth="1"/>
    <col min="6850" max="6850" width="11" style="148" customWidth="1"/>
    <col min="6851" max="6851" width="12" style="148" customWidth="1"/>
    <col min="6852" max="6852" width="9.140625" style="148"/>
    <col min="6853" max="6853" width="12.28515625" style="148" customWidth="1"/>
    <col min="6854" max="6854" width="10.140625" style="148" bestFit="1" customWidth="1"/>
    <col min="6855" max="6855" width="12" style="148" customWidth="1"/>
    <col min="6856" max="6856" width="12.5703125" style="148" bestFit="1" customWidth="1"/>
    <col min="6857" max="6857" width="10.42578125" style="148" customWidth="1"/>
    <col min="6858" max="6858" width="9.140625" style="148"/>
    <col min="6859" max="6859" width="11.5703125" style="148" customWidth="1"/>
    <col min="6860" max="6860" width="11.42578125" style="148" customWidth="1"/>
    <col min="6861" max="6861" width="11.5703125" style="148" customWidth="1"/>
    <col min="6862" max="6862" width="12.42578125" style="148" bestFit="1" customWidth="1"/>
    <col min="6863" max="7091" width="9.140625" style="148"/>
    <col min="7092" max="7092" width="49.42578125" style="148" customWidth="1"/>
    <col min="7093" max="7093" width="13.85546875" style="148" bestFit="1" customWidth="1"/>
    <col min="7094" max="7094" width="13.85546875" style="148" customWidth="1"/>
    <col min="7095" max="7095" width="9.5703125" style="148" bestFit="1" customWidth="1"/>
    <col min="7096" max="7096" width="12.140625" style="148" bestFit="1" customWidth="1"/>
    <col min="7097" max="7097" width="13.42578125" style="148" customWidth="1"/>
    <col min="7098" max="7098" width="13.28515625" style="148" customWidth="1"/>
    <col min="7099" max="7099" width="12.28515625" style="148" customWidth="1"/>
    <col min="7100" max="7100" width="11.7109375" style="148" bestFit="1" customWidth="1"/>
    <col min="7101" max="7101" width="9.7109375" style="148" bestFit="1" customWidth="1"/>
    <col min="7102" max="7102" width="11.85546875" style="148" customWidth="1"/>
    <col min="7103" max="7103" width="13.28515625" style="148" customWidth="1"/>
    <col min="7104" max="7104" width="12.85546875" style="148" customWidth="1"/>
    <col min="7105" max="7105" width="36" style="148" customWidth="1"/>
    <col min="7106" max="7106" width="11" style="148" customWidth="1"/>
    <col min="7107" max="7107" width="12" style="148" customWidth="1"/>
    <col min="7108" max="7108" width="9.140625" style="148"/>
    <col min="7109" max="7109" width="12.28515625" style="148" customWidth="1"/>
    <col min="7110" max="7110" width="10.140625" style="148" bestFit="1" customWidth="1"/>
    <col min="7111" max="7111" width="12" style="148" customWidth="1"/>
    <col min="7112" max="7112" width="12.5703125" style="148" bestFit="1" customWidth="1"/>
    <col min="7113" max="7113" width="10.42578125" style="148" customWidth="1"/>
    <col min="7114" max="7114" width="9.140625" style="148"/>
    <col min="7115" max="7115" width="11.5703125" style="148" customWidth="1"/>
    <col min="7116" max="7116" width="11.42578125" style="148" customWidth="1"/>
    <col min="7117" max="7117" width="11.5703125" style="148" customWidth="1"/>
    <col min="7118" max="7118" width="12.42578125" style="148" bestFit="1" customWidth="1"/>
    <col min="7119" max="7347" width="9.140625" style="148"/>
    <col min="7348" max="7348" width="49.42578125" style="148" customWidth="1"/>
    <col min="7349" max="7349" width="13.85546875" style="148" bestFit="1" customWidth="1"/>
    <col min="7350" max="7350" width="13.85546875" style="148" customWidth="1"/>
    <col min="7351" max="7351" width="9.5703125" style="148" bestFit="1" customWidth="1"/>
    <col min="7352" max="7352" width="12.140625" style="148" bestFit="1" customWidth="1"/>
    <col min="7353" max="7353" width="13.42578125" style="148" customWidth="1"/>
    <col min="7354" max="7354" width="13.28515625" style="148" customWidth="1"/>
    <col min="7355" max="7355" width="12.28515625" style="148" customWidth="1"/>
    <col min="7356" max="7356" width="11.7109375" style="148" bestFit="1" customWidth="1"/>
    <col min="7357" max="7357" width="9.7109375" style="148" bestFit="1" customWidth="1"/>
    <col min="7358" max="7358" width="11.85546875" style="148" customWidth="1"/>
    <col min="7359" max="7359" width="13.28515625" style="148" customWidth="1"/>
    <col min="7360" max="7360" width="12.85546875" style="148" customWidth="1"/>
    <col min="7361" max="7361" width="36" style="148" customWidth="1"/>
    <col min="7362" max="7362" width="11" style="148" customWidth="1"/>
    <col min="7363" max="7363" width="12" style="148" customWidth="1"/>
    <col min="7364" max="7364" width="9.140625" style="148"/>
    <col min="7365" max="7365" width="12.28515625" style="148" customWidth="1"/>
    <col min="7366" max="7366" width="10.140625" style="148" bestFit="1" customWidth="1"/>
    <col min="7367" max="7367" width="12" style="148" customWidth="1"/>
    <col min="7368" max="7368" width="12.5703125" style="148" bestFit="1" customWidth="1"/>
    <col min="7369" max="7369" width="10.42578125" style="148" customWidth="1"/>
    <col min="7370" max="7370" width="9.140625" style="148"/>
    <col min="7371" max="7371" width="11.5703125" style="148" customWidth="1"/>
    <col min="7372" max="7372" width="11.42578125" style="148" customWidth="1"/>
    <col min="7373" max="7373" width="11.5703125" style="148" customWidth="1"/>
    <col min="7374" max="7374" width="12.42578125" style="148" bestFit="1" customWidth="1"/>
    <col min="7375" max="7603" width="9.140625" style="148"/>
    <col min="7604" max="7604" width="49.42578125" style="148" customWidth="1"/>
    <col min="7605" max="7605" width="13.85546875" style="148" bestFit="1" customWidth="1"/>
    <col min="7606" max="7606" width="13.85546875" style="148" customWidth="1"/>
    <col min="7607" max="7607" width="9.5703125" style="148" bestFit="1" customWidth="1"/>
    <col min="7608" max="7608" width="12.140625" style="148" bestFit="1" customWidth="1"/>
    <col min="7609" max="7609" width="13.42578125" style="148" customWidth="1"/>
    <col min="7610" max="7610" width="13.28515625" style="148" customWidth="1"/>
    <col min="7611" max="7611" width="12.28515625" style="148" customWidth="1"/>
    <col min="7612" max="7612" width="11.7109375" style="148" bestFit="1" customWidth="1"/>
    <col min="7613" max="7613" width="9.7109375" style="148" bestFit="1" customWidth="1"/>
    <col min="7614" max="7614" width="11.85546875" style="148" customWidth="1"/>
    <col min="7615" max="7615" width="13.28515625" style="148" customWidth="1"/>
    <col min="7616" max="7616" width="12.85546875" style="148" customWidth="1"/>
    <col min="7617" max="7617" width="36" style="148" customWidth="1"/>
    <col min="7618" max="7618" width="11" style="148" customWidth="1"/>
    <col min="7619" max="7619" width="12" style="148" customWidth="1"/>
    <col min="7620" max="7620" width="9.140625" style="148"/>
    <col min="7621" max="7621" width="12.28515625" style="148" customWidth="1"/>
    <col min="7622" max="7622" width="10.140625" style="148" bestFit="1" customWidth="1"/>
    <col min="7623" max="7623" width="12" style="148" customWidth="1"/>
    <col min="7624" max="7624" width="12.5703125" style="148" bestFit="1" customWidth="1"/>
    <col min="7625" max="7625" width="10.42578125" style="148" customWidth="1"/>
    <col min="7626" max="7626" width="9.140625" style="148"/>
    <col min="7627" max="7627" width="11.5703125" style="148" customWidth="1"/>
    <col min="7628" max="7628" width="11.42578125" style="148" customWidth="1"/>
    <col min="7629" max="7629" width="11.5703125" style="148" customWidth="1"/>
    <col min="7630" max="7630" width="12.42578125" style="148" bestFit="1" customWidth="1"/>
    <col min="7631" max="7859" width="9.140625" style="148"/>
    <col min="7860" max="7860" width="49.42578125" style="148" customWidth="1"/>
    <col min="7861" max="7861" width="13.85546875" style="148" bestFit="1" customWidth="1"/>
    <col min="7862" max="7862" width="13.85546875" style="148" customWidth="1"/>
    <col min="7863" max="7863" width="9.5703125" style="148" bestFit="1" customWidth="1"/>
    <col min="7864" max="7864" width="12.140625" style="148" bestFit="1" customWidth="1"/>
    <col min="7865" max="7865" width="13.42578125" style="148" customWidth="1"/>
    <col min="7866" max="7866" width="13.28515625" style="148" customWidth="1"/>
    <col min="7867" max="7867" width="12.28515625" style="148" customWidth="1"/>
    <col min="7868" max="7868" width="11.7109375" style="148" bestFit="1" customWidth="1"/>
    <col min="7869" max="7869" width="9.7109375" style="148" bestFit="1" customWidth="1"/>
    <col min="7870" max="7870" width="11.85546875" style="148" customWidth="1"/>
    <col min="7871" max="7871" width="13.28515625" style="148" customWidth="1"/>
    <col min="7872" max="7872" width="12.85546875" style="148" customWidth="1"/>
    <col min="7873" max="7873" width="36" style="148" customWidth="1"/>
    <col min="7874" max="7874" width="11" style="148" customWidth="1"/>
    <col min="7875" max="7875" width="12" style="148" customWidth="1"/>
    <col min="7876" max="7876" width="9.140625" style="148"/>
    <col min="7877" max="7877" width="12.28515625" style="148" customWidth="1"/>
    <col min="7878" max="7878" width="10.140625" style="148" bestFit="1" customWidth="1"/>
    <col min="7879" max="7879" width="12" style="148" customWidth="1"/>
    <col min="7880" max="7880" width="12.5703125" style="148" bestFit="1" customWidth="1"/>
    <col min="7881" max="7881" width="10.42578125" style="148" customWidth="1"/>
    <col min="7882" max="7882" width="9.140625" style="148"/>
    <col min="7883" max="7883" width="11.5703125" style="148" customWidth="1"/>
    <col min="7884" max="7884" width="11.42578125" style="148" customWidth="1"/>
    <col min="7885" max="7885" width="11.5703125" style="148" customWidth="1"/>
    <col min="7886" max="7886" width="12.42578125" style="148" bestFit="1" customWidth="1"/>
    <col min="7887" max="8115" width="9.140625" style="148"/>
    <col min="8116" max="8116" width="49.42578125" style="148" customWidth="1"/>
    <col min="8117" max="8117" width="13.85546875" style="148" bestFit="1" customWidth="1"/>
    <col min="8118" max="8118" width="13.85546875" style="148" customWidth="1"/>
    <col min="8119" max="8119" width="9.5703125" style="148" bestFit="1" customWidth="1"/>
    <col min="8120" max="8120" width="12.140625" style="148" bestFit="1" customWidth="1"/>
    <col min="8121" max="8121" width="13.42578125" style="148" customWidth="1"/>
    <col min="8122" max="8122" width="13.28515625" style="148" customWidth="1"/>
    <col min="8123" max="8123" width="12.28515625" style="148" customWidth="1"/>
    <col min="8124" max="8124" width="11.7109375" style="148" bestFit="1" customWidth="1"/>
    <col min="8125" max="8125" width="9.7109375" style="148" bestFit="1" customWidth="1"/>
    <col min="8126" max="8126" width="11.85546875" style="148" customWidth="1"/>
    <col min="8127" max="8127" width="13.28515625" style="148" customWidth="1"/>
    <col min="8128" max="8128" width="12.85546875" style="148" customWidth="1"/>
    <col min="8129" max="8129" width="36" style="148" customWidth="1"/>
    <col min="8130" max="8130" width="11" style="148" customWidth="1"/>
    <col min="8131" max="8131" width="12" style="148" customWidth="1"/>
    <col min="8132" max="8132" width="9.140625" style="148"/>
    <col min="8133" max="8133" width="12.28515625" style="148" customWidth="1"/>
    <col min="8134" max="8134" width="10.140625" style="148" bestFit="1" customWidth="1"/>
    <col min="8135" max="8135" width="12" style="148" customWidth="1"/>
    <col min="8136" max="8136" width="12.5703125" style="148" bestFit="1" customWidth="1"/>
    <col min="8137" max="8137" width="10.42578125" style="148" customWidth="1"/>
    <col min="8138" max="8138" width="9.140625" style="148"/>
    <col min="8139" max="8139" width="11.5703125" style="148" customWidth="1"/>
    <col min="8140" max="8140" width="11.42578125" style="148" customWidth="1"/>
    <col min="8141" max="8141" width="11.5703125" style="148" customWidth="1"/>
    <col min="8142" max="8142" width="12.42578125" style="148" bestFit="1" customWidth="1"/>
    <col min="8143" max="8371" width="9.140625" style="148"/>
    <col min="8372" max="8372" width="49.42578125" style="148" customWidth="1"/>
    <col min="8373" max="8373" width="13.85546875" style="148" bestFit="1" customWidth="1"/>
    <col min="8374" max="8374" width="13.85546875" style="148" customWidth="1"/>
    <col min="8375" max="8375" width="9.5703125" style="148" bestFit="1" customWidth="1"/>
    <col min="8376" max="8376" width="12.140625" style="148" bestFit="1" customWidth="1"/>
    <col min="8377" max="8377" width="13.42578125" style="148" customWidth="1"/>
    <col min="8378" max="8378" width="13.28515625" style="148" customWidth="1"/>
    <col min="8379" max="8379" width="12.28515625" style="148" customWidth="1"/>
    <col min="8380" max="8380" width="11.7109375" style="148" bestFit="1" customWidth="1"/>
    <col min="8381" max="8381" width="9.7109375" style="148" bestFit="1" customWidth="1"/>
    <col min="8382" max="8382" width="11.85546875" style="148" customWidth="1"/>
    <col min="8383" max="8383" width="13.28515625" style="148" customWidth="1"/>
    <col min="8384" max="8384" width="12.85546875" style="148" customWidth="1"/>
    <col min="8385" max="8385" width="36" style="148" customWidth="1"/>
    <col min="8386" max="8386" width="11" style="148" customWidth="1"/>
    <col min="8387" max="8387" width="12" style="148" customWidth="1"/>
    <col min="8388" max="8388" width="9.140625" style="148"/>
    <col min="8389" max="8389" width="12.28515625" style="148" customWidth="1"/>
    <col min="8390" max="8390" width="10.140625" style="148" bestFit="1" customWidth="1"/>
    <col min="8391" max="8391" width="12" style="148" customWidth="1"/>
    <col min="8392" max="8392" width="12.5703125" style="148" bestFit="1" customWidth="1"/>
    <col min="8393" max="8393" width="10.42578125" style="148" customWidth="1"/>
    <col min="8394" max="8394" width="9.140625" style="148"/>
    <col min="8395" max="8395" width="11.5703125" style="148" customWidth="1"/>
    <col min="8396" max="8396" width="11.42578125" style="148" customWidth="1"/>
    <col min="8397" max="8397" width="11.5703125" style="148" customWidth="1"/>
    <col min="8398" max="8398" width="12.42578125" style="148" bestFit="1" customWidth="1"/>
    <col min="8399" max="8627" width="9.140625" style="148"/>
    <col min="8628" max="8628" width="49.42578125" style="148" customWidth="1"/>
    <col min="8629" max="8629" width="13.85546875" style="148" bestFit="1" customWidth="1"/>
    <col min="8630" max="8630" width="13.85546875" style="148" customWidth="1"/>
    <col min="8631" max="8631" width="9.5703125" style="148" bestFit="1" customWidth="1"/>
    <col min="8632" max="8632" width="12.140625" style="148" bestFit="1" customWidth="1"/>
    <col min="8633" max="8633" width="13.42578125" style="148" customWidth="1"/>
    <col min="8634" max="8634" width="13.28515625" style="148" customWidth="1"/>
    <col min="8635" max="8635" width="12.28515625" style="148" customWidth="1"/>
    <col min="8636" max="8636" width="11.7109375" style="148" bestFit="1" customWidth="1"/>
    <col min="8637" max="8637" width="9.7109375" style="148" bestFit="1" customWidth="1"/>
    <col min="8638" max="8638" width="11.85546875" style="148" customWidth="1"/>
    <col min="8639" max="8639" width="13.28515625" style="148" customWidth="1"/>
    <col min="8640" max="8640" width="12.85546875" style="148" customWidth="1"/>
    <col min="8641" max="8641" width="36" style="148" customWidth="1"/>
    <col min="8642" max="8642" width="11" style="148" customWidth="1"/>
    <col min="8643" max="8643" width="12" style="148" customWidth="1"/>
    <col min="8644" max="8644" width="9.140625" style="148"/>
    <col min="8645" max="8645" width="12.28515625" style="148" customWidth="1"/>
    <col min="8646" max="8646" width="10.140625" style="148" bestFit="1" customWidth="1"/>
    <col min="8647" max="8647" width="12" style="148" customWidth="1"/>
    <col min="8648" max="8648" width="12.5703125" style="148" bestFit="1" customWidth="1"/>
    <col min="8649" max="8649" width="10.42578125" style="148" customWidth="1"/>
    <col min="8650" max="8650" width="9.140625" style="148"/>
    <col min="8651" max="8651" width="11.5703125" style="148" customWidth="1"/>
    <col min="8652" max="8652" width="11.42578125" style="148" customWidth="1"/>
    <col min="8653" max="8653" width="11.5703125" style="148" customWidth="1"/>
    <col min="8654" max="8654" width="12.42578125" style="148" bestFit="1" customWidth="1"/>
    <col min="8655" max="8883" width="9.140625" style="148"/>
    <col min="8884" max="8884" width="49.42578125" style="148" customWidth="1"/>
    <col min="8885" max="8885" width="13.85546875" style="148" bestFit="1" customWidth="1"/>
    <col min="8886" max="8886" width="13.85546875" style="148" customWidth="1"/>
    <col min="8887" max="8887" width="9.5703125" style="148" bestFit="1" customWidth="1"/>
    <col min="8888" max="8888" width="12.140625" style="148" bestFit="1" customWidth="1"/>
    <col min="8889" max="8889" width="13.42578125" style="148" customWidth="1"/>
    <col min="8890" max="8890" width="13.28515625" style="148" customWidth="1"/>
    <col min="8891" max="8891" width="12.28515625" style="148" customWidth="1"/>
    <col min="8892" max="8892" width="11.7109375" style="148" bestFit="1" customWidth="1"/>
    <col min="8893" max="8893" width="9.7109375" style="148" bestFit="1" customWidth="1"/>
    <col min="8894" max="8894" width="11.85546875" style="148" customWidth="1"/>
    <col min="8895" max="8895" width="13.28515625" style="148" customWidth="1"/>
    <col min="8896" max="8896" width="12.85546875" style="148" customWidth="1"/>
    <col min="8897" max="8897" width="36" style="148" customWidth="1"/>
    <col min="8898" max="8898" width="11" style="148" customWidth="1"/>
    <col min="8899" max="8899" width="12" style="148" customWidth="1"/>
    <col min="8900" max="8900" width="9.140625" style="148"/>
    <col min="8901" max="8901" width="12.28515625" style="148" customWidth="1"/>
    <col min="8902" max="8902" width="10.140625" style="148" bestFit="1" customWidth="1"/>
    <col min="8903" max="8903" width="12" style="148" customWidth="1"/>
    <col min="8904" max="8904" width="12.5703125" style="148" bestFit="1" customWidth="1"/>
    <col min="8905" max="8905" width="10.42578125" style="148" customWidth="1"/>
    <col min="8906" max="8906" width="9.140625" style="148"/>
    <col min="8907" max="8907" width="11.5703125" style="148" customWidth="1"/>
    <col min="8908" max="8908" width="11.42578125" style="148" customWidth="1"/>
    <col min="8909" max="8909" width="11.5703125" style="148" customWidth="1"/>
    <col min="8910" max="8910" width="12.42578125" style="148" bestFit="1" customWidth="1"/>
    <col min="8911" max="9139" width="9.140625" style="148"/>
    <col min="9140" max="9140" width="49.42578125" style="148" customWidth="1"/>
    <col min="9141" max="9141" width="13.85546875" style="148" bestFit="1" customWidth="1"/>
    <col min="9142" max="9142" width="13.85546875" style="148" customWidth="1"/>
    <col min="9143" max="9143" width="9.5703125" style="148" bestFit="1" customWidth="1"/>
    <col min="9144" max="9144" width="12.140625" style="148" bestFit="1" customWidth="1"/>
    <col min="9145" max="9145" width="13.42578125" style="148" customWidth="1"/>
    <col min="9146" max="9146" width="13.28515625" style="148" customWidth="1"/>
    <col min="9147" max="9147" width="12.28515625" style="148" customWidth="1"/>
    <col min="9148" max="9148" width="11.7109375" style="148" bestFit="1" customWidth="1"/>
    <col min="9149" max="9149" width="9.7109375" style="148" bestFit="1" customWidth="1"/>
    <col min="9150" max="9150" width="11.85546875" style="148" customWidth="1"/>
    <col min="9151" max="9151" width="13.28515625" style="148" customWidth="1"/>
    <col min="9152" max="9152" width="12.85546875" style="148" customWidth="1"/>
    <col min="9153" max="9153" width="36" style="148" customWidth="1"/>
    <col min="9154" max="9154" width="11" style="148" customWidth="1"/>
    <col min="9155" max="9155" width="12" style="148" customWidth="1"/>
    <col min="9156" max="9156" width="9.140625" style="148"/>
    <col min="9157" max="9157" width="12.28515625" style="148" customWidth="1"/>
    <col min="9158" max="9158" width="10.140625" style="148" bestFit="1" customWidth="1"/>
    <col min="9159" max="9159" width="12" style="148" customWidth="1"/>
    <col min="9160" max="9160" width="12.5703125" style="148" bestFit="1" customWidth="1"/>
    <col min="9161" max="9161" width="10.42578125" style="148" customWidth="1"/>
    <col min="9162" max="9162" width="9.140625" style="148"/>
    <col min="9163" max="9163" width="11.5703125" style="148" customWidth="1"/>
    <col min="9164" max="9164" width="11.42578125" style="148" customWidth="1"/>
    <col min="9165" max="9165" width="11.5703125" style="148" customWidth="1"/>
    <col min="9166" max="9166" width="12.42578125" style="148" bestFit="1" customWidth="1"/>
    <col min="9167" max="9395" width="9.140625" style="148"/>
    <col min="9396" max="9396" width="49.42578125" style="148" customWidth="1"/>
    <col min="9397" max="9397" width="13.85546875" style="148" bestFit="1" customWidth="1"/>
    <col min="9398" max="9398" width="13.85546875" style="148" customWidth="1"/>
    <col min="9399" max="9399" width="9.5703125" style="148" bestFit="1" customWidth="1"/>
    <col min="9400" max="9400" width="12.140625" style="148" bestFit="1" customWidth="1"/>
    <col min="9401" max="9401" width="13.42578125" style="148" customWidth="1"/>
    <col min="9402" max="9402" width="13.28515625" style="148" customWidth="1"/>
    <col min="9403" max="9403" width="12.28515625" style="148" customWidth="1"/>
    <col min="9404" max="9404" width="11.7109375" style="148" bestFit="1" customWidth="1"/>
    <col min="9405" max="9405" width="9.7109375" style="148" bestFit="1" customWidth="1"/>
    <col min="9406" max="9406" width="11.85546875" style="148" customWidth="1"/>
    <col min="9407" max="9407" width="13.28515625" style="148" customWidth="1"/>
    <col min="9408" max="9408" width="12.85546875" style="148" customWidth="1"/>
    <col min="9409" max="9409" width="36" style="148" customWidth="1"/>
    <col min="9410" max="9410" width="11" style="148" customWidth="1"/>
    <col min="9411" max="9411" width="12" style="148" customWidth="1"/>
    <col min="9412" max="9412" width="9.140625" style="148"/>
    <col min="9413" max="9413" width="12.28515625" style="148" customWidth="1"/>
    <col min="9414" max="9414" width="10.140625" style="148" bestFit="1" customWidth="1"/>
    <col min="9415" max="9415" width="12" style="148" customWidth="1"/>
    <col min="9416" max="9416" width="12.5703125" style="148" bestFit="1" customWidth="1"/>
    <col min="9417" max="9417" width="10.42578125" style="148" customWidth="1"/>
    <col min="9418" max="9418" width="9.140625" style="148"/>
    <col min="9419" max="9419" width="11.5703125" style="148" customWidth="1"/>
    <col min="9420" max="9420" width="11.42578125" style="148" customWidth="1"/>
    <col min="9421" max="9421" width="11.5703125" style="148" customWidth="1"/>
    <col min="9422" max="9422" width="12.42578125" style="148" bestFit="1" customWidth="1"/>
    <col min="9423" max="9651" width="9.140625" style="148"/>
    <col min="9652" max="9652" width="49.42578125" style="148" customWidth="1"/>
    <col min="9653" max="9653" width="13.85546875" style="148" bestFit="1" customWidth="1"/>
    <col min="9654" max="9654" width="13.85546875" style="148" customWidth="1"/>
    <col min="9655" max="9655" width="9.5703125" style="148" bestFit="1" customWidth="1"/>
    <col min="9656" max="9656" width="12.140625" style="148" bestFit="1" customWidth="1"/>
    <col min="9657" max="9657" width="13.42578125" style="148" customWidth="1"/>
    <col min="9658" max="9658" width="13.28515625" style="148" customWidth="1"/>
    <col min="9659" max="9659" width="12.28515625" style="148" customWidth="1"/>
    <col min="9660" max="9660" width="11.7109375" style="148" bestFit="1" customWidth="1"/>
    <col min="9661" max="9661" width="9.7109375" style="148" bestFit="1" customWidth="1"/>
    <col min="9662" max="9662" width="11.85546875" style="148" customWidth="1"/>
    <col min="9663" max="9663" width="13.28515625" style="148" customWidth="1"/>
    <col min="9664" max="9664" width="12.85546875" style="148" customWidth="1"/>
    <col min="9665" max="9665" width="36" style="148" customWidth="1"/>
    <col min="9666" max="9666" width="11" style="148" customWidth="1"/>
    <col min="9667" max="9667" width="12" style="148" customWidth="1"/>
    <col min="9668" max="9668" width="9.140625" style="148"/>
    <col min="9669" max="9669" width="12.28515625" style="148" customWidth="1"/>
    <col min="9670" max="9670" width="10.140625" style="148" bestFit="1" customWidth="1"/>
    <col min="9671" max="9671" width="12" style="148" customWidth="1"/>
    <col min="9672" max="9672" width="12.5703125" style="148" bestFit="1" customWidth="1"/>
    <col min="9673" max="9673" width="10.42578125" style="148" customWidth="1"/>
    <col min="9674" max="9674" width="9.140625" style="148"/>
    <col min="9675" max="9675" width="11.5703125" style="148" customWidth="1"/>
    <col min="9676" max="9676" width="11.42578125" style="148" customWidth="1"/>
    <col min="9677" max="9677" width="11.5703125" style="148" customWidth="1"/>
    <col min="9678" max="9678" width="12.42578125" style="148" bestFit="1" customWidth="1"/>
    <col min="9679" max="9907" width="9.140625" style="148"/>
    <col min="9908" max="9908" width="49.42578125" style="148" customWidth="1"/>
    <col min="9909" max="9909" width="13.85546875" style="148" bestFit="1" customWidth="1"/>
    <col min="9910" max="9910" width="13.85546875" style="148" customWidth="1"/>
    <col min="9911" max="9911" width="9.5703125" style="148" bestFit="1" customWidth="1"/>
    <col min="9912" max="9912" width="12.140625" style="148" bestFit="1" customWidth="1"/>
    <col min="9913" max="9913" width="13.42578125" style="148" customWidth="1"/>
    <col min="9914" max="9914" width="13.28515625" style="148" customWidth="1"/>
    <col min="9915" max="9915" width="12.28515625" style="148" customWidth="1"/>
    <col min="9916" max="9916" width="11.7109375" style="148" bestFit="1" customWidth="1"/>
    <col min="9917" max="9917" width="9.7109375" style="148" bestFit="1" customWidth="1"/>
    <col min="9918" max="9918" width="11.85546875" style="148" customWidth="1"/>
    <col min="9919" max="9919" width="13.28515625" style="148" customWidth="1"/>
    <col min="9920" max="9920" width="12.85546875" style="148" customWidth="1"/>
    <col min="9921" max="9921" width="36" style="148" customWidth="1"/>
    <col min="9922" max="9922" width="11" style="148" customWidth="1"/>
    <col min="9923" max="9923" width="12" style="148" customWidth="1"/>
    <col min="9924" max="9924" width="9.140625" style="148"/>
    <col min="9925" max="9925" width="12.28515625" style="148" customWidth="1"/>
    <col min="9926" max="9926" width="10.140625" style="148" bestFit="1" customWidth="1"/>
    <col min="9927" max="9927" width="12" style="148" customWidth="1"/>
    <col min="9928" max="9928" width="12.5703125" style="148" bestFit="1" customWidth="1"/>
    <col min="9929" max="9929" width="10.42578125" style="148" customWidth="1"/>
    <col min="9930" max="9930" width="9.140625" style="148"/>
    <col min="9931" max="9931" width="11.5703125" style="148" customWidth="1"/>
    <col min="9932" max="9932" width="11.42578125" style="148" customWidth="1"/>
    <col min="9933" max="9933" width="11.5703125" style="148" customWidth="1"/>
    <col min="9934" max="9934" width="12.42578125" style="148" bestFit="1" customWidth="1"/>
    <col min="9935" max="10163" width="9.140625" style="148"/>
    <col min="10164" max="10164" width="49.42578125" style="148" customWidth="1"/>
    <col min="10165" max="10165" width="13.85546875" style="148" bestFit="1" customWidth="1"/>
    <col min="10166" max="10166" width="13.85546875" style="148" customWidth="1"/>
    <col min="10167" max="10167" width="9.5703125" style="148" bestFit="1" customWidth="1"/>
    <col min="10168" max="10168" width="12.140625" style="148" bestFit="1" customWidth="1"/>
    <col min="10169" max="10169" width="13.42578125" style="148" customWidth="1"/>
    <col min="10170" max="10170" width="13.28515625" style="148" customWidth="1"/>
    <col min="10171" max="10171" width="12.28515625" style="148" customWidth="1"/>
    <col min="10172" max="10172" width="11.7109375" style="148" bestFit="1" customWidth="1"/>
    <col min="10173" max="10173" width="9.7109375" style="148" bestFit="1" customWidth="1"/>
    <col min="10174" max="10174" width="11.85546875" style="148" customWidth="1"/>
    <col min="10175" max="10175" width="13.28515625" style="148" customWidth="1"/>
    <col min="10176" max="10176" width="12.85546875" style="148" customWidth="1"/>
    <col min="10177" max="10177" width="36" style="148" customWidth="1"/>
    <col min="10178" max="10178" width="11" style="148" customWidth="1"/>
    <col min="10179" max="10179" width="12" style="148" customWidth="1"/>
    <col min="10180" max="10180" width="9.140625" style="148"/>
    <col min="10181" max="10181" width="12.28515625" style="148" customWidth="1"/>
    <col min="10182" max="10182" width="10.140625" style="148" bestFit="1" customWidth="1"/>
    <col min="10183" max="10183" width="12" style="148" customWidth="1"/>
    <col min="10184" max="10184" width="12.5703125" style="148" bestFit="1" customWidth="1"/>
    <col min="10185" max="10185" width="10.42578125" style="148" customWidth="1"/>
    <col min="10186" max="10186" width="9.140625" style="148"/>
    <col min="10187" max="10187" width="11.5703125" style="148" customWidth="1"/>
    <col min="10188" max="10188" width="11.42578125" style="148" customWidth="1"/>
    <col min="10189" max="10189" width="11.5703125" style="148" customWidth="1"/>
    <col min="10190" max="10190" width="12.42578125" style="148" bestFit="1" customWidth="1"/>
    <col min="10191" max="10419" width="9.140625" style="148"/>
    <col min="10420" max="10420" width="49.42578125" style="148" customWidth="1"/>
    <col min="10421" max="10421" width="13.85546875" style="148" bestFit="1" customWidth="1"/>
    <col min="10422" max="10422" width="13.85546875" style="148" customWidth="1"/>
    <col min="10423" max="10423" width="9.5703125" style="148" bestFit="1" customWidth="1"/>
    <col min="10424" max="10424" width="12.140625" style="148" bestFit="1" customWidth="1"/>
    <col min="10425" max="10425" width="13.42578125" style="148" customWidth="1"/>
    <col min="10426" max="10426" width="13.28515625" style="148" customWidth="1"/>
    <col min="10427" max="10427" width="12.28515625" style="148" customWidth="1"/>
    <col min="10428" max="10428" width="11.7109375" style="148" bestFit="1" customWidth="1"/>
    <col min="10429" max="10429" width="9.7109375" style="148" bestFit="1" customWidth="1"/>
    <col min="10430" max="10430" width="11.85546875" style="148" customWidth="1"/>
    <col min="10431" max="10431" width="13.28515625" style="148" customWidth="1"/>
    <col min="10432" max="10432" width="12.85546875" style="148" customWidth="1"/>
    <col min="10433" max="10433" width="36" style="148" customWidth="1"/>
    <col min="10434" max="10434" width="11" style="148" customWidth="1"/>
    <col min="10435" max="10435" width="12" style="148" customWidth="1"/>
    <col min="10436" max="10436" width="9.140625" style="148"/>
    <col min="10437" max="10437" width="12.28515625" style="148" customWidth="1"/>
    <col min="10438" max="10438" width="10.140625" style="148" bestFit="1" customWidth="1"/>
    <col min="10439" max="10439" width="12" style="148" customWidth="1"/>
    <col min="10440" max="10440" width="12.5703125" style="148" bestFit="1" customWidth="1"/>
    <col min="10441" max="10441" width="10.42578125" style="148" customWidth="1"/>
    <col min="10442" max="10442" width="9.140625" style="148"/>
    <col min="10443" max="10443" width="11.5703125" style="148" customWidth="1"/>
    <col min="10444" max="10444" width="11.42578125" style="148" customWidth="1"/>
    <col min="10445" max="10445" width="11.5703125" style="148" customWidth="1"/>
    <col min="10446" max="10446" width="12.42578125" style="148" bestFit="1" customWidth="1"/>
    <col min="10447" max="10675" width="9.140625" style="148"/>
    <col min="10676" max="10676" width="49.42578125" style="148" customWidth="1"/>
    <col min="10677" max="10677" width="13.85546875" style="148" bestFit="1" customWidth="1"/>
    <col min="10678" max="10678" width="13.85546875" style="148" customWidth="1"/>
    <col min="10679" max="10679" width="9.5703125" style="148" bestFit="1" customWidth="1"/>
    <col min="10680" max="10680" width="12.140625" style="148" bestFit="1" customWidth="1"/>
    <col min="10681" max="10681" width="13.42578125" style="148" customWidth="1"/>
    <col min="10682" max="10682" width="13.28515625" style="148" customWidth="1"/>
    <col min="10683" max="10683" width="12.28515625" style="148" customWidth="1"/>
    <col min="10684" max="10684" width="11.7109375" style="148" bestFit="1" customWidth="1"/>
    <col min="10685" max="10685" width="9.7109375" style="148" bestFit="1" customWidth="1"/>
    <col min="10686" max="10686" width="11.85546875" style="148" customWidth="1"/>
    <col min="10687" max="10687" width="13.28515625" style="148" customWidth="1"/>
    <col min="10688" max="10688" width="12.85546875" style="148" customWidth="1"/>
    <col min="10689" max="10689" width="36" style="148" customWidth="1"/>
    <col min="10690" max="10690" width="11" style="148" customWidth="1"/>
    <col min="10691" max="10691" width="12" style="148" customWidth="1"/>
    <col min="10692" max="10692" width="9.140625" style="148"/>
    <col min="10693" max="10693" width="12.28515625" style="148" customWidth="1"/>
    <col min="10694" max="10694" width="10.140625" style="148" bestFit="1" customWidth="1"/>
    <col min="10695" max="10695" width="12" style="148" customWidth="1"/>
    <col min="10696" max="10696" width="12.5703125" style="148" bestFit="1" customWidth="1"/>
    <col min="10697" max="10697" width="10.42578125" style="148" customWidth="1"/>
    <col min="10698" max="10698" width="9.140625" style="148"/>
    <col min="10699" max="10699" width="11.5703125" style="148" customWidth="1"/>
    <col min="10700" max="10700" width="11.42578125" style="148" customWidth="1"/>
    <col min="10701" max="10701" width="11.5703125" style="148" customWidth="1"/>
    <col min="10702" max="10702" width="12.42578125" style="148" bestFit="1" customWidth="1"/>
    <col min="10703" max="10931" width="9.140625" style="148"/>
    <col min="10932" max="10932" width="49.42578125" style="148" customWidth="1"/>
    <col min="10933" max="10933" width="13.85546875" style="148" bestFit="1" customWidth="1"/>
    <col min="10934" max="10934" width="13.85546875" style="148" customWidth="1"/>
    <col min="10935" max="10935" width="9.5703125" style="148" bestFit="1" customWidth="1"/>
    <col min="10936" max="10936" width="12.140625" style="148" bestFit="1" customWidth="1"/>
    <col min="10937" max="10937" width="13.42578125" style="148" customWidth="1"/>
    <col min="10938" max="10938" width="13.28515625" style="148" customWidth="1"/>
    <col min="10939" max="10939" width="12.28515625" style="148" customWidth="1"/>
    <col min="10940" max="10940" width="11.7109375" style="148" bestFit="1" customWidth="1"/>
    <col min="10941" max="10941" width="9.7109375" style="148" bestFit="1" customWidth="1"/>
    <col min="10942" max="10942" width="11.85546875" style="148" customWidth="1"/>
    <col min="10943" max="10943" width="13.28515625" style="148" customWidth="1"/>
    <col min="10944" max="10944" width="12.85546875" style="148" customWidth="1"/>
    <col min="10945" max="10945" width="36" style="148" customWidth="1"/>
    <col min="10946" max="10946" width="11" style="148" customWidth="1"/>
    <col min="10947" max="10947" width="12" style="148" customWidth="1"/>
    <col min="10948" max="10948" width="9.140625" style="148"/>
    <col min="10949" max="10949" width="12.28515625" style="148" customWidth="1"/>
    <col min="10950" max="10950" width="10.140625" style="148" bestFit="1" customWidth="1"/>
    <col min="10951" max="10951" width="12" style="148" customWidth="1"/>
    <col min="10952" max="10952" width="12.5703125" style="148" bestFit="1" customWidth="1"/>
    <col min="10953" max="10953" width="10.42578125" style="148" customWidth="1"/>
    <col min="10954" max="10954" width="9.140625" style="148"/>
    <col min="10955" max="10955" width="11.5703125" style="148" customWidth="1"/>
    <col min="10956" max="10956" width="11.42578125" style="148" customWidth="1"/>
    <col min="10957" max="10957" width="11.5703125" style="148" customWidth="1"/>
    <col min="10958" max="10958" width="12.42578125" style="148" bestFit="1" customWidth="1"/>
    <col min="10959" max="11187" width="9.140625" style="148"/>
    <col min="11188" max="11188" width="49.42578125" style="148" customWidth="1"/>
    <col min="11189" max="11189" width="13.85546875" style="148" bestFit="1" customWidth="1"/>
    <col min="11190" max="11190" width="13.85546875" style="148" customWidth="1"/>
    <col min="11191" max="11191" width="9.5703125" style="148" bestFit="1" customWidth="1"/>
    <col min="11192" max="11192" width="12.140625" style="148" bestFit="1" customWidth="1"/>
    <col min="11193" max="11193" width="13.42578125" style="148" customWidth="1"/>
    <col min="11194" max="11194" width="13.28515625" style="148" customWidth="1"/>
    <col min="11195" max="11195" width="12.28515625" style="148" customWidth="1"/>
    <col min="11196" max="11196" width="11.7109375" style="148" bestFit="1" customWidth="1"/>
    <col min="11197" max="11197" width="9.7109375" style="148" bestFit="1" customWidth="1"/>
    <col min="11198" max="11198" width="11.85546875" style="148" customWidth="1"/>
    <col min="11199" max="11199" width="13.28515625" style="148" customWidth="1"/>
    <col min="11200" max="11200" width="12.85546875" style="148" customWidth="1"/>
    <col min="11201" max="11201" width="36" style="148" customWidth="1"/>
    <col min="11202" max="11202" width="11" style="148" customWidth="1"/>
    <col min="11203" max="11203" width="12" style="148" customWidth="1"/>
    <col min="11204" max="11204" width="9.140625" style="148"/>
    <col min="11205" max="11205" width="12.28515625" style="148" customWidth="1"/>
    <col min="11206" max="11206" width="10.140625" style="148" bestFit="1" customWidth="1"/>
    <col min="11207" max="11207" width="12" style="148" customWidth="1"/>
    <col min="11208" max="11208" width="12.5703125" style="148" bestFit="1" customWidth="1"/>
    <col min="11209" max="11209" width="10.42578125" style="148" customWidth="1"/>
    <col min="11210" max="11210" width="9.140625" style="148"/>
    <col min="11211" max="11211" width="11.5703125" style="148" customWidth="1"/>
    <col min="11212" max="11212" width="11.42578125" style="148" customWidth="1"/>
    <col min="11213" max="11213" width="11.5703125" style="148" customWidth="1"/>
    <col min="11214" max="11214" width="12.42578125" style="148" bestFit="1" customWidth="1"/>
    <col min="11215" max="11443" width="9.140625" style="148"/>
    <col min="11444" max="11444" width="49.42578125" style="148" customWidth="1"/>
    <col min="11445" max="11445" width="13.85546875" style="148" bestFit="1" customWidth="1"/>
    <col min="11446" max="11446" width="13.85546875" style="148" customWidth="1"/>
    <col min="11447" max="11447" width="9.5703125" style="148" bestFit="1" customWidth="1"/>
    <col min="11448" max="11448" width="12.140625" style="148" bestFit="1" customWidth="1"/>
    <col min="11449" max="11449" width="13.42578125" style="148" customWidth="1"/>
    <col min="11450" max="11450" width="13.28515625" style="148" customWidth="1"/>
    <col min="11451" max="11451" width="12.28515625" style="148" customWidth="1"/>
    <col min="11452" max="11452" width="11.7109375" style="148" bestFit="1" customWidth="1"/>
    <col min="11453" max="11453" width="9.7109375" style="148" bestFit="1" customWidth="1"/>
    <col min="11454" max="11454" width="11.85546875" style="148" customWidth="1"/>
    <col min="11455" max="11455" width="13.28515625" style="148" customWidth="1"/>
    <col min="11456" max="11456" width="12.85546875" style="148" customWidth="1"/>
    <col min="11457" max="11457" width="36" style="148" customWidth="1"/>
    <col min="11458" max="11458" width="11" style="148" customWidth="1"/>
    <col min="11459" max="11459" width="12" style="148" customWidth="1"/>
    <col min="11460" max="11460" width="9.140625" style="148"/>
    <col min="11461" max="11461" width="12.28515625" style="148" customWidth="1"/>
    <col min="11462" max="11462" width="10.140625" style="148" bestFit="1" customWidth="1"/>
    <col min="11463" max="11463" width="12" style="148" customWidth="1"/>
    <col min="11464" max="11464" width="12.5703125" style="148" bestFit="1" customWidth="1"/>
    <col min="11465" max="11465" width="10.42578125" style="148" customWidth="1"/>
    <col min="11466" max="11466" width="9.140625" style="148"/>
    <col min="11467" max="11467" width="11.5703125" style="148" customWidth="1"/>
    <col min="11468" max="11468" width="11.42578125" style="148" customWidth="1"/>
    <col min="11469" max="11469" width="11.5703125" style="148" customWidth="1"/>
    <col min="11470" max="11470" width="12.42578125" style="148" bestFit="1" customWidth="1"/>
    <col min="11471" max="11699" width="9.140625" style="148"/>
    <col min="11700" max="11700" width="49.42578125" style="148" customWidth="1"/>
    <col min="11701" max="11701" width="13.85546875" style="148" bestFit="1" customWidth="1"/>
    <col min="11702" max="11702" width="13.85546875" style="148" customWidth="1"/>
    <col min="11703" max="11703" width="9.5703125" style="148" bestFit="1" customWidth="1"/>
    <col min="11704" max="11704" width="12.140625" style="148" bestFit="1" customWidth="1"/>
    <col min="11705" max="11705" width="13.42578125" style="148" customWidth="1"/>
    <col min="11706" max="11706" width="13.28515625" style="148" customWidth="1"/>
    <col min="11707" max="11707" width="12.28515625" style="148" customWidth="1"/>
    <col min="11708" max="11708" width="11.7109375" style="148" bestFit="1" customWidth="1"/>
    <col min="11709" max="11709" width="9.7109375" style="148" bestFit="1" customWidth="1"/>
    <col min="11710" max="11710" width="11.85546875" style="148" customWidth="1"/>
    <col min="11711" max="11711" width="13.28515625" style="148" customWidth="1"/>
    <col min="11712" max="11712" width="12.85546875" style="148" customWidth="1"/>
    <col min="11713" max="11713" width="36" style="148" customWidth="1"/>
    <col min="11714" max="11714" width="11" style="148" customWidth="1"/>
    <col min="11715" max="11715" width="12" style="148" customWidth="1"/>
    <col min="11716" max="11716" width="9.140625" style="148"/>
    <col min="11717" max="11717" width="12.28515625" style="148" customWidth="1"/>
    <col min="11718" max="11718" width="10.140625" style="148" bestFit="1" customWidth="1"/>
    <col min="11719" max="11719" width="12" style="148" customWidth="1"/>
    <col min="11720" max="11720" width="12.5703125" style="148" bestFit="1" customWidth="1"/>
    <col min="11721" max="11721" width="10.42578125" style="148" customWidth="1"/>
    <col min="11722" max="11722" width="9.140625" style="148"/>
    <col min="11723" max="11723" width="11.5703125" style="148" customWidth="1"/>
    <col min="11724" max="11724" width="11.42578125" style="148" customWidth="1"/>
    <col min="11725" max="11725" width="11.5703125" style="148" customWidth="1"/>
    <col min="11726" max="11726" width="12.42578125" style="148" bestFit="1" customWidth="1"/>
    <col min="11727" max="11955" width="9.140625" style="148"/>
    <col min="11956" max="11956" width="49.42578125" style="148" customWidth="1"/>
    <col min="11957" max="11957" width="13.85546875" style="148" bestFit="1" customWidth="1"/>
    <col min="11958" max="11958" width="13.85546875" style="148" customWidth="1"/>
    <col min="11959" max="11959" width="9.5703125" style="148" bestFit="1" customWidth="1"/>
    <col min="11960" max="11960" width="12.140625" style="148" bestFit="1" customWidth="1"/>
    <col min="11961" max="11961" width="13.42578125" style="148" customWidth="1"/>
    <col min="11962" max="11962" width="13.28515625" style="148" customWidth="1"/>
    <col min="11963" max="11963" width="12.28515625" style="148" customWidth="1"/>
    <col min="11964" max="11964" width="11.7109375" style="148" bestFit="1" customWidth="1"/>
    <col min="11965" max="11965" width="9.7109375" style="148" bestFit="1" customWidth="1"/>
    <col min="11966" max="11966" width="11.85546875" style="148" customWidth="1"/>
    <col min="11967" max="11967" width="13.28515625" style="148" customWidth="1"/>
    <col min="11968" max="11968" width="12.85546875" style="148" customWidth="1"/>
    <col min="11969" max="11969" width="36" style="148" customWidth="1"/>
    <col min="11970" max="11970" width="11" style="148" customWidth="1"/>
    <col min="11971" max="11971" width="12" style="148" customWidth="1"/>
    <col min="11972" max="11972" width="9.140625" style="148"/>
    <col min="11973" max="11973" width="12.28515625" style="148" customWidth="1"/>
    <col min="11974" max="11974" width="10.140625" style="148" bestFit="1" customWidth="1"/>
    <col min="11975" max="11975" width="12" style="148" customWidth="1"/>
    <col min="11976" max="11976" width="12.5703125" style="148" bestFit="1" customWidth="1"/>
    <col min="11977" max="11977" width="10.42578125" style="148" customWidth="1"/>
    <col min="11978" max="11978" width="9.140625" style="148"/>
    <col min="11979" max="11979" width="11.5703125" style="148" customWidth="1"/>
    <col min="11980" max="11980" width="11.42578125" style="148" customWidth="1"/>
    <col min="11981" max="11981" width="11.5703125" style="148" customWidth="1"/>
    <col min="11982" max="11982" width="12.42578125" style="148" bestFit="1" customWidth="1"/>
    <col min="11983" max="12211" width="9.140625" style="148"/>
    <col min="12212" max="12212" width="49.42578125" style="148" customWidth="1"/>
    <col min="12213" max="12213" width="13.85546875" style="148" bestFit="1" customWidth="1"/>
    <col min="12214" max="12214" width="13.85546875" style="148" customWidth="1"/>
    <col min="12215" max="12215" width="9.5703125" style="148" bestFit="1" customWidth="1"/>
    <col min="12216" max="12216" width="12.140625" style="148" bestFit="1" customWidth="1"/>
    <col min="12217" max="12217" width="13.42578125" style="148" customWidth="1"/>
    <col min="12218" max="12218" width="13.28515625" style="148" customWidth="1"/>
    <col min="12219" max="12219" width="12.28515625" style="148" customWidth="1"/>
    <col min="12220" max="12220" width="11.7109375" style="148" bestFit="1" customWidth="1"/>
    <col min="12221" max="12221" width="9.7109375" style="148" bestFit="1" customWidth="1"/>
    <col min="12222" max="12222" width="11.85546875" style="148" customWidth="1"/>
    <col min="12223" max="12223" width="13.28515625" style="148" customWidth="1"/>
    <col min="12224" max="12224" width="12.85546875" style="148" customWidth="1"/>
    <col min="12225" max="12225" width="36" style="148" customWidth="1"/>
    <col min="12226" max="12226" width="11" style="148" customWidth="1"/>
    <col min="12227" max="12227" width="12" style="148" customWidth="1"/>
    <col min="12228" max="12228" width="9.140625" style="148"/>
    <col min="12229" max="12229" width="12.28515625" style="148" customWidth="1"/>
    <col min="12230" max="12230" width="10.140625" style="148" bestFit="1" customWidth="1"/>
    <col min="12231" max="12231" width="12" style="148" customWidth="1"/>
    <col min="12232" max="12232" width="12.5703125" style="148" bestFit="1" customWidth="1"/>
    <col min="12233" max="12233" width="10.42578125" style="148" customWidth="1"/>
    <col min="12234" max="12234" width="9.140625" style="148"/>
    <col min="12235" max="12235" width="11.5703125" style="148" customWidth="1"/>
    <col min="12236" max="12236" width="11.42578125" style="148" customWidth="1"/>
    <col min="12237" max="12237" width="11.5703125" style="148" customWidth="1"/>
    <col min="12238" max="12238" width="12.42578125" style="148" bestFit="1" customWidth="1"/>
    <col min="12239" max="12467" width="9.140625" style="148"/>
    <col min="12468" max="12468" width="49.42578125" style="148" customWidth="1"/>
    <col min="12469" max="12469" width="13.85546875" style="148" bestFit="1" customWidth="1"/>
    <col min="12470" max="12470" width="13.85546875" style="148" customWidth="1"/>
    <col min="12471" max="12471" width="9.5703125" style="148" bestFit="1" customWidth="1"/>
    <col min="12472" max="12472" width="12.140625" style="148" bestFit="1" customWidth="1"/>
    <col min="12473" max="12473" width="13.42578125" style="148" customWidth="1"/>
    <col min="12474" max="12474" width="13.28515625" style="148" customWidth="1"/>
    <col min="12475" max="12475" width="12.28515625" style="148" customWidth="1"/>
    <col min="12476" max="12476" width="11.7109375" style="148" bestFit="1" customWidth="1"/>
    <col min="12477" max="12477" width="9.7109375" style="148" bestFit="1" customWidth="1"/>
    <col min="12478" max="12478" width="11.85546875" style="148" customWidth="1"/>
    <col min="12479" max="12479" width="13.28515625" style="148" customWidth="1"/>
    <col min="12480" max="12480" width="12.85546875" style="148" customWidth="1"/>
    <col min="12481" max="12481" width="36" style="148" customWidth="1"/>
    <col min="12482" max="12482" width="11" style="148" customWidth="1"/>
    <col min="12483" max="12483" width="12" style="148" customWidth="1"/>
    <col min="12484" max="12484" width="9.140625" style="148"/>
    <col min="12485" max="12485" width="12.28515625" style="148" customWidth="1"/>
    <col min="12486" max="12486" width="10.140625" style="148" bestFit="1" customWidth="1"/>
    <col min="12487" max="12487" width="12" style="148" customWidth="1"/>
    <col min="12488" max="12488" width="12.5703125" style="148" bestFit="1" customWidth="1"/>
    <col min="12489" max="12489" width="10.42578125" style="148" customWidth="1"/>
    <col min="12490" max="12490" width="9.140625" style="148"/>
    <col min="12491" max="12491" width="11.5703125" style="148" customWidth="1"/>
    <col min="12492" max="12492" width="11.42578125" style="148" customWidth="1"/>
    <col min="12493" max="12493" width="11.5703125" style="148" customWidth="1"/>
    <col min="12494" max="12494" width="12.42578125" style="148" bestFit="1" customWidth="1"/>
    <col min="12495" max="12723" width="9.140625" style="148"/>
    <col min="12724" max="12724" width="49.42578125" style="148" customWidth="1"/>
    <col min="12725" max="12725" width="13.85546875" style="148" bestFit="1" customWidth="1"/>
    <col min="12726" max="12726" width="13.85546875" style="148" customWidth="1"/>
    <col min="12727" max="12727" width="9.5703125" style="148" bestFit="1" customWidth="1"/>
    <col min="12728" max="12728" width="12.140625" style="148" bestFit="1" customWidth="1"/>
    <col min="12729" max="12729" width="13.42578125" style="148" customWidth="1"/>
    <col min="12730" max="12730" width="13.28515625" style="148" customWidth="1"/>
    <col min="12731" max="12731" width="12.28515625" style="148" customWidth="1"/>
    <col min="12732" max="12732" width="11.7109375" style="148" bestFit="1" customWidth="1"/>
    <col min="12733" max="12733" width="9.7109375" style="148" bestFit="1" customWidth="1"/>
    <col min="12734" max="12734" width="11.85546875" style="148" customWidth="1"/>
    <col min="12735" max="12735" width="13.28515625" style="148" customWidth="1"/>
    <col min="12736" max="12736" width="12.85546875" style="148" customWidth="1"/>
    <col min="12737" max="12737" width="36" style="148" customWidth="1"/>
    <col min="12738" max="12738" width="11" style="148" customWidth="1"/>
    <col min="12739" max="12739" width="12" style="148" customWidth="1"/>
    <col min="12740" max="12740" width="9.140625" style="148"/>
    <col min="12741" max="12741" width="12.28515625" style="148" customWidth="1"/>
    <col min="12742" max="12742" width="10.140625" style="148" bestFit="1" customWidth="1"/>
    <col min="12743" max="12743" width="12" style="148" customWidth="1"/>
    <col min="12744" max="12744" width="12.5703125" style="148" bestFit="1" customWidth="1"/>
    <col min="12745" max="12745" width="10.42578125" style="148" customWidth="1"/>
    <col min="12746" max="12746" width="9.140625" style="148"/>
    <col min="12747" max="12747" width="11.5703125" style="148" customWidth="1"/>
    <col min="12748" max="12748" width="11.42578125" style="148" customWidth="1"/>
    <col min="12749" max="12749" width="11.5703125" style="148" customWidth="1"/>
    <col min="12750" max="12750" width="12.42578125" style="148" bestFit="1" customWidth="1"/>
    <col min="12751" max="12979" width="9.140625" style="148"/>
    <col min="12980" max="12980" width="49.42578125" style="148" customWidth="1"/>
    <col min="12981" max="12981" width="13.85546875" style="148" bestFit="1" customWidth="1"/>
    <col min="12982" max="12982" width="13.85546875" style="148" customWidth="1"/>
    <col min="12983" max="12983" width="9.5703125" style="148" bestFit="1" customWidth="1"/>
    <col min="12984" max="12984" width="12.140625" style="148" bestFit="1" customWidth="1"/>
    <col min="12985" max="12985" width="13.42578125" style="148" customWidth="1"/>
    <col min="12986" max="12986" width="13.28515625" style="148" customWidth="1"/>
    <col min="12987" max="12987" width="12.28515625" style="148" customWidth="1"/>
    <col min="12988" max="12988" width="11.7109375" style="148" bestFit="1" customWidth="1"/>
    <col min="12989" max="12989" width="9.7109375" style="148" bestFit="1" customWidth="1"/>
    <col min="12990" max="12990" width="11.85546875" style="148" customWidth="1"/>
    <col min="12991" max="12991" width="13.28515625" style="148" customWidth="1"/>
    <col min="12992" max="12992" width="12.85546875" style="148" customWidth="1"/>
    <col min="12993" max="12993" width="36" style="148" customWidth="1"/>
    <col min="12994" max="12994" width="11" style="148" customWidth="1"/>
    <col min="12995" max="12995" width="12" style="148" customWidth="1"/>
    <col min="12996" max="12996" width="9.140625" style="148"/>
    <col min="12997" max="12997" width="12.28515625" style="148" customWidth="1"/>
    <col min="12998" max="12998" width="10.140625" style="148" bestFit="1" customWidth="1"/>
    <col min="12999" max="12999" width="12" style="148" customWidth="1"/>
    <col min="13000" max="13000" width="12.5703125" style="148" bestFit="1" customWidth="1"/>
    <col min="13001" max="13001" width="10.42578125" style="148" customWidth="1"/>
    <col min="13002" max="13002" width="9.140625" style="148"/>
    <col min="13003" max="13003" width="11.5703125" style="148" customWidth="1"/>
    <col min="13004" max="13004" width="11.42578125" style="148" customWidth="1"/>
    <col min="13005" max="13005" width="11.5703125" style="148" customWidth="1"/>
    <col min="13006" max="13006" width="12.42578125" style="148" bestFit="1" customWidth="1"/>
    <col min="13007" max="13235" width="9.140625" style="148"/>
    <col min="13236" max="13236" width="49.42578125" style="148" customWidth="1"/>
    <col min="13237" max="13237" width="13.85546875" style="148" bestFit="1" customWidth="1"/>
    <col min="13238" max="13238" width="13.85546875" style="148" customWidth="1"/>
    <col min="13239" max="13239" width="9.5703125" style="148" bestFit="1" customWidth="1"/>
    <col min="13240" max="13240" width="12.140625" style="148" bestFit="1" customWidth="1"/>
    <col min="13241" max="13241" width="13.42578125" style="148" customWidth="1"/>
    <col min="13242" max="13242" width="13.28515625" style="148" customWidth="1"/>
    <col min="13243" max="13243" width="12.28515625" style="148" customWidth="1"/>
    <col min="13244" max="13244" width="11.7109375" style="148" bestFit="1" customWidth="1"/>
    <col min="13245" max="13245" width="9.7109375" style="148" bestFit="1" customWidth="1"/>
    <col min="13246" max="13246" width="11.85546875" style="148" customWidth="1"/>
    <col min="13247" max="13247" width="13.28515625" style="148" customWidth="1"/>
    <col min="13248" max="13248" width="12.85546875" style="148" customWidth="1"/>
    <col min="13249" max="13249" width="36" style="148" customWidth="1"/>
    <col min="13250" max="13250" width="11" style="148" customWidth="1"/>
    <col min="13251" max="13251" width="12" style="148" customWidth="1"/>
    <col min="13252" max="13252" width="9.140625" style="148"/>
    <col min="13253" max="13253" width="12.28515625" style="148" customWidth="1"/>
    <col min="13254" max="13254" width="10.140625" style="148" bestFit="1" customWidth="1"/>
    <col min="13255" max="13255" width="12" style="148" customWidth="1"/>
    <col min="13256" max="13256" width="12.5703125" style="148" bestFit="1" customWidth="1"/>
    <col min="13257" max="13257" width="10.42578125" style="148" customWidth="1"/>
    <col min="13258" max="13258" width="9.140625" style="148"/>
    <col min="13259" max="13259" width="11.5703125" style="148" customWidth="1"/>
    <col min="13260" max="13260" width="11.42578125" style="148" customWidth="1"/>
    <col min="13261" max="13261" width="11.5703125" style="148" customWidth="1"/>
    <col min="13262" max="13262" width="12.42578125" style="148" bestFit="1" customWidth="1"/>
    <col min="13263" max="13491" width="9.140625" style="148"/>
    <col min="13492" max="13492" width="49.42578125" style="148" customWidth="1"/>
    <col min="13493" max="13493" width="13.85546875" style="148" bestFit="1" customWidth="1"/>
    <col min="13494" max="13494" width="13.85546875" style="148" customWidth="1"/>
    <col min="13495" max="13495" width="9.5703125" style="148" bestFit="1" customWidth="1"/>
    <col min="13496" max="13496" width="12.140625" style="148" bestFit="1" customWidth="1"/>
    <col min="13497" max="13497" width="13.42578125" style="148" customWidth="1"/>
    <col min="13498" max="13498" width="13.28515625" style="148" customWidth="1"/>
    <col min="13499" max="13499" width="12.28515625" style="148" customWidth="1"/>
    <col min="13500" max="13500" width="11.7109375" style="148" bestFit="1" customWidth="1"/>
    <col min="13501" max="13501" width="9.7109375" style="148" bestFit="1" customWidth="1"/>
    <col min="13502" max="13502" width="11.85546875" style="148" customWidth="1"/>
    <col min="13503" max="13503" width="13.28515625" style="148" customWidth="1"/>
    <col min="13504" max="13504" width="12.85546875" style="148" customWidth="1"/>
    <col min="13505" max="13505" width="36" style="148" customWidth="1"/>
    <col min="13506" max="13506" width="11" style="148" customWidth="1"/>
    <col min="13507" max="13507" width="12" style="148" customWidth="1"/>
    <col min="13508" max="13508" width="9.140625" style="148"/>
    <col min="13509" max="13509" width="12.28515625" style="148" customWidth="1"/>
    <col min="13510" max="13510" width="10.140625" style="148" bestFit="1" customWidth="1"/>
    <col min="13511" max="13511" width="12" style="148" customWidth="1"/>
    <col min="13512" max="13512" width="12.5703125" style="148" bestFit="1" customWidth="1"/>
    <col min="13513" max="13513" width="10.42578125" style="148" customWidth="1"/>
    <col min="13514" max="13514" width="9.140625" style="148"/>
    <col min="13515" max="13515" width="11.5703125" style="148" customWidth="1"/>
    <col min="13516" max="13516" width="11.42578125" style="148" customWidth="1"/>
    <col min="13517" max="13517" width="11.5703125" style="148" customWidth="1"/>
    <col min="13518" max="13518" width="12.42578125" style="148" bestFit="1" customWidth="1"/>
    <col min="13519" max="13747" width="9.140625" style="148"/>
    <col min="13748" max="13748" width="49.42578125" style="148" customWidth="1"/>
    <col min="13749" max="13749" width="13.85546875" style="148" bestFit="1" customWidth="1"/>
    <col min="13750" max="13750" width="13.85546875" style="148" customWidth="1"/>
    <col min="13751" max="13751" width="9.5703125" style="148" bestFit="1" customWidth="1"/>
    <col min="13752" max="13752" width="12.140625" style="148" bestFit="1" customWidth="1"/>
    <col min="13753" max="13753" width="13.42578125" style="148" customWidth="1"/>
    <col min="13754" max="13754" width="13.28515625" style="148" customWidth="1"/>
    <col min="13755" max="13755" width="12.28515625" style="148" customWidth="1"/>
    <col min="13756" max="13756" width="11.7109375" style="148" bestFit="1" customWidth="1"/>
    <col min="13757" max="13757" width="9.7109375" style="148" bestFit="1" customWidth="1"/>
    <col min="13758" max="13758" width="11.85546875" style="148" customWidth="1"/>
    <col min="13759" max="13759" width="13.28515625" style="148" customWidth="1"/>
    <col min="13760" max="13760" width="12.85546875" style="148" customWidth="1"/>
    <col min="13761" max="13761" width="36" style="148" customWidth="1"/>
    <col min="13762" max="13762" width="11" style="148" customWidth="1"/>
    <col min="13763" max="13763" width="12" style="148" customWidth="1"/>
    <col min="13764" max="13764" width="9.140625" style="148"/>
    <col min="13765" max="13765" width="12.28515625" style="148" customWidth="1"/>
    <col min="13766" max="13766" width="10.140625" style="148" bestFit="1" customWidth="1"/>
    <col min="13767" max="13767" width="12" style="148" customWidth="1"/>
    <col min="13768" max="13768" width="12.5703125" style="148" bestFit="1" customWidth="1"/>
    <col min="13769" max="13769" width="10.42578125" style="148" customWidth="1"/>
    <col min="13770" max="13770" width="9.140625" style="148"/>
    <col min="13771" max="13771" width="11.5703125" style="148" customWidth="1"/>
    <col min="13772" max="13772" width="11.42578125" style="148" customWidth="1"/>
    <col min="13773" max="13773" width="11.5703125" style="148" customWidth="1"/>
    <col min="13774" max="13774" width="12.42578125" style="148" bestFit="1" customWidth="1"/>
    <col min="13775" max="14003" width="9.140625" style="148"/>
    <col min="14004" max="14004" width="49.42578125" style="148" customWidth="1"/>
    <col min="14005" max="14005" width="13.85546875" style="148" bestFit="1" customWidth="1"/>
    <col min="14006" max="14006" width="13.85546875" style="148" customWidth="1"/>
    <col min="14007" max="14007" width="9.5703125" style="148" bestFit="1" customWidth="1"/>
    <col min="14008" max="14008" width="12.140625" style="148" bestFit="1" customWidth="1"/>
    <col min="14009" max="14009" width="13.42578125" style="148" customWidth="1"/>
    <col min="14010" max="14010" width="13.28515625" style="148" customWidth="1"/>
    <col min="14011" max="14011" width="12.28515625" style="148" customWidth="1"/>
    <col min="14012" max="14012" width="11.7109375" style="148" bestFit="1" customWidth="1"/>
    <col min="14013" max="14013" width="9.7109375" style="148" bestFit="1" customWidth="1"/>
    <col min="14014" max="14014" width="11.85546875" style="148" customWidth="1"/>
    <col min="14015" max="14015" width="13.28515625" style="148" customWidth="1"/>
    <col min="14016" max="14016" width="12.85546875" style="148" customWidth="1"/>
    <col min="14017" max="14017" width="36" style="148" customWidth="1"/>
    <col min="14018" max="14018" width="11" style="148" customWidth="1"/>
    <col min="14019" max="14019" width="12" style="148" customWidth="1"/>
    <col min="14020" max="14020" width="9.140625" style="148"/>
    <col min="14021" max="14021" width="12.28515625" style="148" customWidth="1"/>
    <col min="14022" max="14022" width="10.140625" style="148" bestFit="1" customWidth="1"/>
    <col min="14023" max="14023" width="12" style="148" customWidth="1"/>
    <col min="14024" max="14024" width="12.5703125" style="148" bestFit="1" customWidth="1"/>
    <col min="14025" max="14025" width="10.42578125" style="148" customWidth="1"/>
    <col min="14026" max="14026" width="9.140625" style="148"/>
    <col min="14027" max="14027" width="11.5703125" style="148" customWidth="1"/>
    <col min="14028" max="14028" width="11.42578125" style="148" customWidth="1"/>
    <col min="14029" max="14029" width="11.5703125" style="148" customWidth="1"/>
    <col min="14030" max="14030" width="12.42578125" style="148" bestFit="1" customWidth="1"/>
    <col min="14031" max="14259" width="9.140625" style="148"/>
    <col min="14260" max="14260" width="49.42578125" style="148" customWidth="1"/>
    <col min="14261" max="14261" width="13.85546875" style="148" bestFit="1" customWidth="1"/>
    <col min="14262" max="14262" width="13.85546875" style="148" customWidth="1"/>
    <col min="14263" max="14263" width="9.5703125" style="148" bestFit="1" customWidth="1"/>
    <col min="14264" max="14264" width="12.140625" style="148" bestFit="1" customWidth="1"/>
    <col min="14265" max="14265" width="13.42578125" style="148" customWidth="1"/>
    <col min="14266" max="14266" width="13.28515625" style="148" customWidth="1"/>
    <col min="14267" max="14267" width="12.28515625" style="148" customWidth="1"/>
    <col min="14268" max="14268" width="11.7109375" style="148" bestFit="1" customWidth="1"/>
    <col min="14269" max="14269" width="9.7109375" style="148" bestFit="1" customWidth="1"/>
    <col min="14270" max="14270" width="11.85546875" style="148" customWidth="1"/>
    <col min="14271" max="14271" width="13.28515625" style="148" customWidth="1"/>
    <col min="14272" max="14272" width="12.85546875" style="148" customWidth="1"/>
    <col min="14273" max="14273" width="36" style="148" customWidth="1"/>
    <col min="14274" max="14274" width="11" style="148" customWidth="1"/>
    <col min="14275" max="14275" width="12" style="148" customWidth="1"/>
    <col min="14276" max="14276" width="9.140625" style="148"/>
    <col min="14277" max="14277" width="12.28515625" style="148" customWidth="1"/>
    <col min="14278" max="14278" width="10.140625" style="148" bestFit="1" customWidth="1"/>
    <col min="14279" max="14279" width="12" style="148" customWidth="1"/>
    <col min="14280" max="14280" width="12.5703125" style="148" bestFit="1" customWidth="1"/>
    <col min="14281" max="14281" width="10.42578125" style="148" customWidth="1"/>
    <col min="14282" max="14282" width="9.140625" style="148"/>
    <col min="14283" max="14283" width="11.5703125" style="148" customWidth="1"/>
    <col min="14284" max="14284" width="11.42578125" style="148" customWidth="1"/>
    <col min="14285" max="14285" width="11.5703125" style="148" customWidth="1"/>
    <col min="14286" max="14286" width="12.42578125" style="148" bestFit="1" customWidth="1"/>
    <col min="14287" max="14515" width="9.140625" style="148"/>
    <col min="14516" max="14516" width="49.42578125" style="148" customWidth="1"/>
    <col min="14517" max="14517" width="13.85546875" style="148" bestFit="1" customWidth="1"/>
    <col min="14518" max="14518" width="13.85546875" style="148" customWidth="1"/>
    <col min="14519" max="14519" width="9.5703125" style="148" bestFit="1" customWidth="1"/>
    <col min="14520" max="14520" width="12.140625" style="148" bestFit="1" customWidth="1"/>
    <col min="14521" max="14521" width="13.42578125" style="148" customWidth="1"/>
    <col min="14522" max="14522" width="13.28515625" style="148" customWidth="1"/>
    <col min="14523" max="14523" width="12.28515625" style="148" customWidth="1"/>
    <col min="14524" max="14524" width="11.7109375" style="148" bestFit="1" customWidth="1"/>
    <col min="14525" max="14525" width="9.7109375" style="148" bestFit="1" customWidth="1"/>
    <col min="14526" max="14526" width="11.85546875" style="148" customWidth="1"/>
    <col min="14527" max="14527" width="13.28515625" style="148" customWidth="1"/>
    <col min="14528" max="14528" width="12.85546875" style="148" customWidth="1"/>
    <col min="14529" max="14529" width="36" style="148" customWidth="1"/>
    <col min="14530" max="14530" width="11" style="148" customWidth="1"/>
    <col min="14531" max="14531" width="12" style="148" customWidth="1"/>
    <col min="14532" max="14532" width="9.140625" style="148"/>
    <col min="14533" max="14533" width="12.28515625" style="148" customWidth="1"/>
    <col min="14534" max="14534" width="10.140625" style="148" bestFit="1" customWidth="1"/>
    <col min="14535" max="14535" width="12" style="148" customWidth="1"/>
    <col min="14536" max="14536" width="12.5703125" style="148" bestFit="1" customWidth="1"/>
    <col min="14537" max="14537" width="10.42578125" style="148" customWidth="1"/>
    <col min="14538" max="14538" width="9.140625" style="148"/>
    <col min="14539" max="14539" width="11.5703125" style="148" customWidth="1"/>
    <col min="14540" max="14540" width="11.42578125" style="148" customWidth="1"/>
    <col min="14541" max="14541" width="11.5703125" style="148" customWidth="1"/>
    <col min="14542" max="14542" width="12.42578125" style="148" bestFit="1" customWidth="1"/>
    <col min="14543" max="14771" width="9.140625" style="148"/>
    <col min="14772" max="14772" width="49.42578125" style="148" customWidth="1"/>
    <col min="14773" max="14773" width="13.85546875" style="148" bestFit="1" customWidth="1"/>
    <col min="14774" max="14774" width="13.85546875" style="148" customWidth="1"/>
    <col min="14775" max="14775" width="9.5703125" style="148" bestFit="1" customWidth="1"/>
    <col min="14776" max="14776" width="12.140625" style="148" bestFit="1" customWidth="1"/>
    <col min="14777" max="14777" width="13.42578125" style="148" customWidth="1"/>
    <col min="14778" max="14778" width="13.28515625" style="148" customWidth="1"/>
    <col min="14779" max="14779" width="12.28515625" style="148" customWidth="1"/>
    <col min="14780" max="14780" width="11.7109375" style="148" bestFit="1" customWidth="1"/>
    <col min="14781" max="14781" width="9.7109375" style="148" bestFit="1" customWidth="1"/>
    <col min="14782" max="14782" width="11.85546875" style="148" customWidth="1"/>
    <col min="14783" max="14783" width="13.28515625" style="148" customWidth="1"/>
    <col min="14784" max="14784" width="12.85546875" style="148" customWidth="1"/>
    <col min="14785" max="14785" width="36" style="148" customWidth="1"/>
    <col min="14786" max="14786" width="11" style="148" customWidth="1"/>
    <col min="14787" max="14787" width="12" style="148" customWidth="1"/>
    <col min="14788" max="14788" width="9.140625" style="148"/>
    <col min="14789" max="14789" width="12.28515625" style="148" customWidth="1"/>
    <col min="14790" max="14790" width="10.140625" style="148" bestFit="1" customWidth="1"/>
    <col min="14791" max="14791" width="12" style="148" customWidth="1"/>
    <col min="14792" max="14792" width="12.5703125" style="148" bestFit="1" customWidth="1"/>
    <col min="14793" max="14793" width="10.42578125" style="148" customWidth="1"/>
    <col min="14794" max="14794" width="9.140625" style="148"/>
    <col min="14795" max="14795" width="11.5703125" style="148" customWidth="1"/>
    <col min="14796" max="14796" width="11.42578125" style="148" customWidth="1"/>
    <col min="14797" max="14797" width="11.5703125" style="148" customWidth="1"/>
    <col min="14798" max="14798" width="12.42578125" style="148" bestFit="1" customWidth="1"/>
    <col min="14799" max="15027" width="9.140625" style="148"/>
    <col min="15028" max="15028" width="49.42578125" style="148" customWidth="1"/>
    <col min="15029" max="15029" width="13.85546875" style="148" bestFit="1" customWidth="1"/>
    <col min="15030" max="15030" width="13.85546875" style="148" customWidth="1"/>
    <col min="15031" max="15031" width="9.5703125" style="148" bestFit="1" customWidth="1"/>
    <col min="15032" max="15032" width="12.140625" style="148" bestFit="1" customWidth="1"/>
    <col min="15033" max="15033" width="13.42578125" style="148" customWidth="1"/>
    <col min="15034" max="15034" width="13.28515625" style="148" customWidth="1"/>
    <col min="15035" max="15035" width="12.28515625" style="148" customWidth="1"/>
    <col min="15036" max="15036" width="11.7109375" style="148" bestFit="1" customWidth="1"/>
    <col min="15037" max="15037" width="9.7109375" style="148" bestFit="1" customWidth="1"/>
    <col min="15038" max="15038" width="11.85546875" style="148" customWidth="1"/>
    <col min="15039" max="15039" width="13.28515625" style="148" customWidth="1"/>
    <col min="15040" max="15040" width="12.85546875" style="148" customWidth="1"/>
    <col min="15041" max="15041" width="36" style="148" customWidth="1"/>
    <col min="15042" max="15042" width="11" style="148" customWidth="1"/>
    <col min="15043" max="15043" width="12" style="148" customWidth="1"/>
    <col min="15044" max="15044" width="9.140625" style="148"/>
    <col min="15045" max="15045" width="12.28515625" style="148" customWidth="1"/>
    <col min="15046" max="15046" width="10.140625" style="148" bestFit="1" customWidth="1"/>
    <col min="15047" max="15047" width="12" style="148" customWidth="1"/>
    <col min="15048" max="15048" width="12.5703125" style="148" bestFit="1" customWidth="1"/>
    <col min="15049" max="15049" width="10.42578125" style="148" customWidth="1"/>
    <col min="15050" max="15050" width="9.140625" style="148"/>
    <col min="15051" max="15051" width="11.5703125" style="148" customWidth="1"/>
    <col min="15052" max="15052" width="11.42578125" style="148" customWidth="1"/>
    <col min="15053" max="15053" width="11.5703125" style="148" customWidth="1"/>
    <col min="15054" max="15054" width="12.42578125" style="148" bestFit="1" customWidth="1"/>
    <col min="15055" max="15283" width="9.140625" style="148"/>
    <col min="15284" max="15284" width="49.42578125" style="148" customWidth="1"/>
    <col min="15285" max="15285" width="13.85546875" style="148" bestFit="1" customWidth="1"/>
    <col min="15286" max="15286" width="13.85546875" style="148" customWidth="1"/>
    <col min="15287" max="15287" width="9.5703125" style="148" bestFit="1" customWidth="1"/>
    <col min="15288" max="15288" width="12.140625" style="148" bestFit="1" customWidth="1"/>
    <col min="15289" max="15289" width="13.42578125" style="148" customWidth="1"/>
    <col min="15290" max="15290" width="13.28515625" style="148" customWidth="1"/>
    <col min="15291" max="15291" width="12.28515625" style="148" customWidth="1"/>
    <col min="15292" max="15292" width="11.7109375" style="148" bestFit="1" customWidth="1"/>
    <col min="15293" max="15293" width="9.7109375" style="148" bestFit="1" customWidth="1"/>
    <col min="15294" max="15294" width="11.85546875" style="148" customWidth="1"/>
    <col min="15295" max="15295" width="13.28515625" style="148" customWidth="1"/>
    <col min="15296" max="15296" width="12.85546875" style="148" customWidth="1"/>
    <col min="15297" max="15297" width="36" style="148" customWidth="1"/>
    <col min="15298" max="15298" width="11" style="148" customWidth="1"/>
    <col min="15299" max="15299" width="12" style="148" customWidth="1"/>
    <col min="15300" max="15300" width="9.140625" style="148"/>
    <col min="15301" max="15301" width="12.28515625" style="148" customWidth="1"/>
    <col min="15302" max="15302" width="10.140625" style="148" bestFit="1" customWidth="1"/>
    <col min="15303" max="15303" width="12" style="148" customWidth="1"/>
    <col min="15304" max="15304" width="12.5703125" style="148" bestFit="1" customWidth="1"/>
    <col min="15305" max="15305" width="10.42578125" style="148" customWidth="1"/>
    <col min="15306" max="15306" width="9.140625" style="148"/>
    <col min="15307" max="15307" width="11.5703125" style="148" customWidth="1"/>
    <col min="15308" max="15308" width="11.42578125" style="148" customWidth="1"/>
    <col min="15309" max="15309" width="11.5703125" style="148" customWidth="1"/>
    <col min="15310" max="15310" width="12.42578125" style="148" bestFit="1" customWidth="1"/>
    <col min="15311" max="15539" width="9.140625" style="148"/>
    <col min="15540" max="15540" width="49.42578125" style="148" customWidth="1"/>
    <col min="15541" max="15541" width="13.85546875" style="148" bestFit="1" customWidth="1"/>
    <col min="15542" max="15542" width="13.85546875" style="148" customWidth="1"/>
    <col min="15543" max="15543" width="9.5703125" style="148" bestFit="1" customWidth="1"/>
    <col min="15544" max="15544" width="12.140625" style="148" bestFit="1" customWidth="1"/>
    <col min="15545" max="15545" width="13.42578125" style="148" customWidth="1"/>
    <col min="15546" max="15546" width="13.28515625" style="148" customWidth="1"/>
    <col min="15547" max="15547" width="12.28515625" style="148" customWidth="1"/>
    <col min="15548" max="15548" width="11.7109375" style="148" bestFit="1" customWidth="1"/>
    <col min="15549" max="15549" width="9.7109375" style="148" bestFit="1" customWidth="1"/>
    <col min="15550" max="15550" width="11.85546875" style="148" customWidth="1"/>
    <col min="15551" max="15551" width="13.28515625" style="148" customWidth="1"/>
    <col min="15552" max="15552" width="12.85546875" style="148" customWidth="1"/>
    <col min="15553" max="15553" width="36" style="148" customWidth="1"/>
    <col min="15554" max="15554" width="11" style="148" customWidth="1"/>
    <col min="15555" max="15555" width="12" style="148" customWidth="1"/>
    <col min="15556" max="15556" width="9.140625" style="148"/>
    <col min="15557" max="15557" width="12.28515625" style="148" customWidth="1"/>
    <col min="15558" max="15558" width="10.140625" style="148" bestFit="1" customWidth="1"/>
    <col min="15559" max="15559" width="12" style="148" customWidth="1"/>
    <col min="15560" max="15560" width="12.5703125" style="148" bestFit="1" customWidth="1"/>
    <col min="15561" max="15561" width="10.42578125" style="148" customWidth="1"/>
    <col min="15562" max="15562" width="9.140625" style="148"/>
    <col min="15563" max="15563" width="11.5703125" style="148" customWidth="1"/>
    <col min="15564" max="15564" width="11.42578125" style="148" customWidth="1"/>
    <col min="15565" max="15565" width="11.5703125" style="148" customWidth="1"/>
    <col min="15566" max="15566" width="12.42578125" style="148" bestFit="1" customWidth="1"/>
    <col min="15567" max="15795" width="9.140625" style="148"/>
    <col min="15796" max="15796" width="49.42578125" style="148" customWidth="1"/>
    <col min="15797" max="15797" width="13.85546875" style="148" bestFit="1" customWidth="1"/>
    <col min="15798" max="15798" width="13.85546875" style="148" customWidth="1"/>
    <col min="15799" max="15799" width="9.5703125" style="148" bestFit="1" customWidth="1"/>
    <col min="15800" max="15800" width="12.140625" style="148" bestFit="1" customWidth="1"/>
    <col min="15801" max="15801" width="13.42578125" style="148" customWidth="1"/>
    <col min="15802" max="15802" width="13.28515625" style="148" customWidth="1"/>
    <col min="15803" max="15803" width="12.28515625" style="148" customWidth="1"/>
    <col min="15804" max="15804" width="11.7109375" style="148" bestFit="1" customWidth="1"/>
    <col min="15805" max="15805" width="9.7109375" style="148" bestFit="1" customWidth="1"/>
    <col min="15806" max="15806" width="11.85546875" style="148" customWidth="1"/>
    <col min="15807" max="15807" width="13.28515625" style="148" customWidth="1"/>
    <col min="15808" max="15808" width="12.85546875" style="148" customWidth="1"/>
    <col min="15809" max="15809" width="36" style="148" customWidth="1"/>
    <col min="15810" max="15810" width="11" style="148" customWidth="1"/>
    <col min="15811" max="15811" width="12" style="148" customWidth="1"/>
    <col min="15812" max="15812" width="9.140625" style="148"/>
    <col min="15813" max="15813" width="12.28515625" style="148" customWidth="1"/>
    <col min="15814" max="15814" width="10.140625" style="148" bestFit="1" customWidth="1"/>
    <col min="15815" max="15815" width="12" style="148" customWidth="1"/>
    <col min="15816" max="15816" width="12.5703125" style="148" bestFit="1" customWidth="1"/>
    <col min="15817" max="15817" width="10.42578125" style="148" customWidth="1"/>
    <col min="15818" max="15818" width="9.140625" style="148"/>
    <col min="15819" max="15819" width="11.5703125" style="148" customWidth="1"/>
    <col min="15820" max="15820" width="11.42578125" style="148" customWidth="1"/>
    <col min="15821" max="15821" width="11.5703125" style="148" customWidth="1"/>
    <col min="15822" max="15822" width="12.42578125" style="148" bestFit="1" customWidth="1"/>
    <col min="15823" max="16051" width="9.140625" style="148"/>
    <col min="16052" max="16052" width="49.42578125" style="148" customWidth="1"/>
    <col min="16053" max="16053" width="13.85546875" style="148" bestFit="1" customWidth="1"/>
    <col min="16054" max="16054" width="13.85546875" style="148" customWidth="1"/>
    <col min="16055" max="16055" width="9.5703125" style="148" bestFit="1" customWidth="1"/>
    <col min="16056" max="16056" width="12.140625" style="148" bestFit="1" customWidth="1"/>
    <col min="16057" max="16057" width="13.42578125" style="148" customWidth="1"/>
    <col min="16058" max="16058" width="13.28515625" style="148" customWidth="1"/>
    <col min="16059" max="16059" width="12.28515625" style="148" customWidth="1"/>
    <col min="16060" max="16060" width="11.7109375" style="148" bestFit="1" customWidth="1"/>
    <col min="16061" max="16061" width="9.7109375" style="148" bestFit="1" customWidth="1"/>
    <col min="16062" max="16062" width="11.85546875" style="148" customWidth="1"/>
    <col min="16063" max="16063" width="13.28515625" style="148" customWidth="1"/>
    <col min="16064" max="16064" width="12.85546875" style="148" customWidth="1"/>
    <col min="16065" max="16065" width="36" style="148" customWidth="1"/>
    <col min="16066" max="16066" width="11" style="148" customWidth="1"/>
    <col min="16067" max="16067" width="12" style="148" customWidth="1"/>
    <col min="16068" max="16068" width="9.140625" style="148"/>
    <col min="16069" max="16069" width="12.28515625" style="148" customWidth="1"/>
    <col min="16070" max="16070" width="10.140625" style="148" bestFit="1" customWidth="1"/>
    <col min="16071" max="16071" width="12" style="148" customWidth="1"/>
    <col min="16072" max="16072" width="12.5703125" style="148" bestFit="1" customWidth="1"/>
    <col min="16073" max="16073" width="10.42578125" style="148" customWidth="1"/>
    <col min="16074" max="16074" width="9.140625" style="148"/>
    <col min="16075" max="16075" width="11.5703125" style="148" customWidth="1"/>
    <col min="16076" max="16076" width="11.42578125" style="148" customWidth="1"/>
    <col min="16077" max="16077" width="11.5703125" style="148" customWidth="1"/>
    <col min="16078" max="16078" width="12.42578125" style="148" bestFit="1" customWidth="1"/>
    <col min="16079" max="16384" width="9.140625" style="148"/>
  </cols>
  <sheetData>
    <row r="1" spans="1:28">
      <c r="K1" s="690" t="s">
        <v>375</v>
      </c>
      <c r="L1" s="690"/>
    </row>
    <row r="2" spans="1:28" s="152" customFormat="1" ht="20.25">
      <c r="A2" s="691" t="s">
        <v>376</v>
      </c>
      <c r="B2" s="691"/>
      <c r="C2" s="691"/>
      <c r="D2" s="691"/>
      <c r="E2" s="691"/>
      <c r="F2" s="691"/>
      <c r="G2" s="691"/>
      <c r="H2" s="691"/>
      <c r="I2" s="691"/>
      <c r="J2" s="691"/>
      <c r="K2" s="691"/>
      <c r="L2" s="691"/>
      <c r="M2" s="691"/>
      <c r="N2" s="150"/>
      <c r="O2" s="151"/>
      <c r="P2" s="151"/>
      <c r="Q2" s="151"/>
      <c r="R2" s="151"/>
      <c r="S2" s="151"/>
      <c r="T2" s="151"/>
      <c r="U2" s="151"/>
      <c r="Z2" s="153"/>
      <c r="AB2" s="294"/>
    </row>
    <row r="3" spans="1:28" s="512" customFormat="1" ht="20.25">
      <c r="A3" s="692" t="s">
        <v>377</v>
      </c>
      <c r="B3" s="695" t="s">
        <v>378</v>
      </c>
      <c r="C3" s="696"/>
      <c r="D3" s="696"/>
      <c r="E3" s="696"/>
      <c r="F3" s="696"/>
      <c r="G3" s="696"/>
      <c r="H3" s="696"/>
      <c r="I3" s="696"/>
      <c r="J3" s="696"/>
      <c r="K3" s="696"/>
      <c r="L3" s="696"/>
      <c r="M3" s="697"/>
      <c r="N3" s="692" t="s">
        <v>377</v>
      </c>
      <c r="O3" s="704" t="s">
        <v>379</v>
      </c>
      <c r="P3" s="704"/>
      <c r="Q3" s="704"/>
      <c r="R3" s="704"/>
      <c r="S3" s="704"/>
      <c r="T3" s="704"/>
      <c r="U3" s="704"/>
      <c r="V3" s="704"/>
      <c r="W3" s="704"/>
      <c r="X3" s="704"/>
      <c r="Y3" s="704"/>
      <c r="Z3" s="704"/>
      <c r="AA3" s="698" t="s">
        <v>380</v>
      </c>
      <c r="AB3" s="295"/>
    </row>
    <row r="4" spans="1:28" s="512" customFormat="1">
      <c r="A4" s="693"/>
      <c r="B4" s="700" t="s">
        <v>381</v>
      </c>
      <c r="C4" s="701"/>
      <c r="D4" s="701"/>
      <c r="E4" s="701"/>
      <c r="F4" s="701"/>
      <c r="G4" s="701"/>
      <c r="H4" s="702"/>
      <c r="I4" s="700" t="s">
        <v>382</v>
      </c>
      <c r="J4" s="701"/>
      <c r="K4" s="701"/>
      <c r="L4" s="701"/>
      <c r="M4" s="702"/>
      <c r="N4" s="693"/>
      <c r="O4" s="703" t="s">
        <v>381</v>
      </c>
      <c r="P4" s="703"/>
      <c r="Q4" s="703"/>
      <c r="R4" s="703"/>
      <c r="S4" s="703"/>
      <c r="T4" s="703"/>
      <c r="U4" s="703"/>
      <c r="V4" s="703" t="s">
        <v>382</v>
      </c>
      <c r="W4" s="703"/>
      <c r="X4" s="703"/>
      <c r="Y4" s="703"/>
      <c r="Z4" s="703"/>
      <c r="AA4" s="699"/>
      <c r="AB4" s="295"/>
    </row>
    <row r="5" spans="1:28" s="153" customFormat="1" ht="63">
      <c r="A5" s="694"/>
      <c r="B5" s="154" t="s">
        <v>383</v>
      </c>
      <c r="C5" s="154" t="s">
        <v>384</v>
      </c>
      <c r="D5" s="154" t="s">
        <v>1030</v>
      </c>
      <c r="E5" s="177" t="s">
        <v>818</v>
      </c>
      <c r="F5" s="154" t="s">
        <v>385</v>
      </c>
      <c r="G5" s="154" t="s">
        <v>352</v>
      </c>
      <c r="H5" s="155" t="s">
        <v>108</v>
      </c>
      <c r="I5" s="156" t="s">
        <v>386</v>
      </c>
      <c r="J5" s="156" t="s">
        <v>387</v>
      </c>
      <c r="K5" s="154" t="s">
        <v>388</v>
      </c>
      <c r="L5" s="156" t="s">
        <v>389</v>
      </c>
      <c r="M5" s="155" t="s">
        <v>109</v>
      </c>
      <c r="N5" s="694"/>
      <c r="O5" s="154" t="s">
        <v>390</v>
      </c>
      <c r="P5" s="154" t="s">
        <v>391</v>
      </c>
      <c r="Q5" s="154" t="s">
        <v>1030</v>
      </c>
      <c r="R5" s="154" t="s">
        <v>392</v>
      </c>
      <c r="S5" s="154" t="s">
        <v>385</v>
      </c>
      <c r="T5" s="154" t="s">
        <v>352</v>
      </c>
      <c r="U5" s="155" t="s">
        <v>108</v>
      </c>
      <c r="V5" s="156" t="s">
        <v>386</v>
      </c>
      <c r="W5" s="156" t="s">
        <v>387</v>
      </c>
      <c r="X5" s="154" t="s">
        <v>388</v>
      </c>
      <c r="Y5" s="156" t="s">
        <v>389</v>
      </c>
      <c r="Z5" s="155" t="s">
        <v>109</v>
      </c>
      <c r="AA5" s="699"/>
      <c r="AB5" s="296"/>
    </row>
    <row r="6" spans="1:28" s="160" customFormat="1" ht="31.5">
      <c r="A6" s="280" t="s">
        <v>393</v>
      </c>
      <c r="B6" s="157">
        <v>526172</v>
      </c>
      <c r="C6" s="157"/>
      <c r="D6" s="157"/>
      <c r="E6" s="157">
        <v>1075</v>
      </c>
      <c r="F6" s="157">
        <v>8485</v>
      </c>
      <c r="G6" s="157"/>
      <c r="H6" s="159">
        <f>SUM(B6:F6)</f>
        <v>535732</v>
      </c>
      <c r="I6" s="157">
        <v>439337</v>
      </c>
      <c r="J6" s="157">
        <v>86895</v>
      </c>
      <c r="K6" s="157">
        <v>9000</v>
      </c>
      <c r="L6" s="157">
        <v>500</v>
      </c>
      <c r="M6" s="159">
        <f t="shared" ref="M6:M11" si="0">SUM(I6:L6)</f>
        <v>535732</v>
      </c>
      <c r="N6" s="280" t="s">
        <v>393</v>
      </c>
      <c r="O6" s="157"/>
      <c r="P6" s="157"/>
      <c r="Q6" s="158"/>
      <c r="R6" s="157"/>
      <c r="S6" s="157"/>
      <c r="T6" s="157"/>
      <c r="U6" s="159">
        <f>SUM(O6:S6)</f>
        <v>0</v>
      </c>
      <c r="V6" s="157"/>
      <c r="W6" s="157"/>
      <c r="X6" s="157"/>
      <c r="Y6" s="157"/>
      <c r="Z6" s="159"/>
      <c r="AA6" s="286">
        <f>M6+Z6</f>
        <v>535732</v>
      </c>
      <c r="AB6" s="297">
        <v>0</v>
      </c>
    </row>
    <row r="7" spans="1:28" s="160" customFormat="1">
      <c r="A7" s="280" t="s">
        <v>394</v>
      </c>
      <c r="B7" s="165">
        <v>18862</v>
      </c>
      <c r="C7" s="165"/>
      <c r="D7" s="165"/>
      <c r="E7" s="157">
        <v>1700</v>
      </c>
      <c r="F7" s="157">
        <v>44226</v>
      </c>
      <c r="G7" s="157"/>
      <c r="H7" s="159">
        <f>SUM(B7:F7)</f>
        <v>64788</v>
      </c>
      <c r="I7" s="157">
        <v>46676</v>
      </c>
      <c r="J7" s="157">
        <v>8224</v>
      </c>
      <c r="K7" s="157">
        <v>9888</v>
      </c>
      <c r="L7" s="157"/>
      <c r="M7" s="159">
        <f t="shared" si="0"/>
        <v>64788</v>
      </c>
      <c r="N7" s="280" t="s">
        <v>394</v>
      </c>
      <c r="O7" s="165"/>
      <c r="P7" s="165"/>
      <c r="Q7" s="165"/>
      <c r="R7" s="157"/>
      <c r="S7" s="157"/>
      <c r="T7" s="157"/>
      <c r="U7" s="159">
        <f>SUM(O7:S7)</f>
        <v>0</v>
      </c>
      <c r="V7" s="157"/>
      <c r="W7" s="157"/>
      <c r="X7" s="157"/>
      <c r="Y7" s="157"/>
      <c r="Z7" s="159">
        <f t="shared" ref="Z7:Z13" si="1">SUM(V7:Y7)</f>
        <v>0</v>
      </c>
      <c r="AA7" s="286">
        <f>M7+Z7</f>
        <v>64788</v>
      </c>
      <c r="AB7" s="179"/>
    </row>
    <row r="8" spans="1:28" s="160" customFormat="1">
      <c r="A8" s="280" t="s">
        <v>312</v>
      </c>
      <c r="B8" s="165">
        <v>18862</v>
      </c>
      <c r="C8" s="165"/>
      <c r="D8" s="165"/>
      <c r="E8" s="157">
        <v>11771</v>
      </c>
      <c r="F8" s="157">
        <v>26113</v>
      </c>
      <c r="G8" s="157"/>
      <c r="H8" s="159">
        <f>SUM(B8:F8)</f>
        <v>56746</v>
      </c>
      <c r="I8" s="157">
        <v>39955</v>
      </c>
      <c r="J8" s="157">
        <v>7061</v>
      </c>
      <c r="K8" s="157">
        <v>9602</v>
      </c>
      <c r="L8" s="157">
        <v>128</v>
      </c>
      <c r="M8" s="159">
        <f t="shared" si="0"/>
        <v>56746</v>
      </c>
      <c r="N8" s="280" t="s">
        <v>395</v>
      </c>
      <c r="O8" s="165"/>
      <c r="P8" s="165"/>
      <c r="Q8" s="165"/>
      <c r="R8" s="157"/>
      <c r="S8" s="157"/>
      <c r="T8" s="157"/>
      <c r="U8" s="159">
        <f>SUM(O8:S8)</f>
        <v>0</v>
      </c>
      <c r="V8" s="157"/>
      <c r="W8" s="157"/>
      <c r="X8" s="157"/>
      <c r="Y8" s="157"/>
      <c r="Z8" s="159">
        <f>SUM(V8:Y8)</f>
        <v>0</v>
      </c>
      <c r="AA8" s="286">
        <f>M8+Z8</f>
        <v>56746</v>
      </c>
      <c r="AB8" s="179"/>
    </row>
    <row r="9" spans="1:28" s="160" customFormat="1" ht="31.5">
      <c r="A9" s="280" t="s">
        <v>396</v>
      </c>
      <c r="B9" s="157">
        <v>362618</v>
      </c>
      <c r="C9" s="157"/>
      <c r="D9" s="157"/>
      <c r="E9" s="157">
        <v>6000</v>
      </c>
      <c r="F9" s="157">
        <v>19230</v>
      </c>
      <c r="G9" s="161"/>
      <c r="H9" s="159">
        <f>SUM(B9:F9)</f>
        <v>387848</v>
      </c>
      <c r="I9" s="157">
        <v>302344</v>
      </c>
      <c r="J9" s="157">
        <v>57516</v>
      </c>
      <c r="K9" s="157">
        <v>25468</v>
      </c>
      <c r="L9" s="157">
        <v>2520</v>
      </c>
      <c r="M9" s="159">
        <f t="shared" si="0"/>
        <v>387848</v>
      </c>
      <c r="N9" s="280" t="s">
        <v>396</v>
      </c>
      <c r="O9" s="158"/>
      <c r="P9" s="158"/>
      <c r="Q9" s="158"/>
      <c r="R9" s="157"/>
      <c r="S9" s="157"/>
      <c r="T9" s="157"/>
      <c r="U9" s="159"/>
      <c r="V9" s="157"/>
      <c r="W9" s="157"/>
      <c r="X9" s="157"/>
      <c r="Y9" s="157"/>
      <c r="Z9" s="159">
        <f t="shared" si="1"/>
        <v>0</v>
      </c>
      <c r="AA9" s="286">
        <f>M9+Z9</f>
        <v>387848</v>
      </c>
      <c r="AB9" s="179">
        <v>0</v>
      </c>
    </row>
    <row r="10" spans="1:28" s="164" customFormat="1">
      <c r="A10" s="280" t="s">
        <v>397</v>
      </c>
      <c r="B10" s="157">
        <v>67168</v>
      </c>
      <c r="C10" s="157"/>
      <c r="D10" s="157"/>
      <c r="E10" s="157">
        <v>60782</v>
      </c>
      <c r="F10" s="157">
        <v>1200</v>
      </c>
      <c r="G10" s="157">
        <f>G11+G12+G13</f>
        <v>0</v>
      </c>
      <c r="H10" s="159">
        <f>SUM(B10:F10)</f>
        <v>129150</v>
      </c>
      <c r="I10" s="157">
        <v>100710</v>
      </c>
      <c r="J10" s="157">
        <v>8314</v>
      </c>
      <c r="K10" s="157">
        <v>19512</v>
      </c>
      <c r="L10" s="157">
        <v>614</v>
      </c>
      <c r="M10" s="159">
        <f t="shared" si="0"/>
        <v>129150</v>
      </c>
      <c r="N10" s="280" t="s">
        <v>397</v>
      </c>
      <c r="O10" s="290">
        <f t="shared" ref="O10:T10" si="2">O11+O12+O13</f>
        <v>278507</v>
      </c>
      <c r="P10" s="290">
        <f t="shared" si="2"/>
        <v>0</v>
      </c>
      <c r="Q10" s="290">
        <f t="shared" si="2"/>
        <v>0</v>
      </c>
      <c r="R10" s="290">
        <f t="shared" si="2"/>
        <v>190199</v>
      </c>
      <c r="S10" s="290">
        <f t="shared" si="2"/>
        <v>61077</v>
      </c>
      <c r="T10" s="290">
        <f t="shared" si="2"/>
        <v>0</v>
      </c>
      <c r="U10" s="159">
        <f>SUM(O10:S10)</f>
        <v>529783</v>
      </c>
      <c r="V10" s="158">
        <f>V11+V12+V13</f>
        <v>297635</v>
      </c>
      <c r="W10" s="158">
        <f>W11+W12+W13</f>
        <v>60137</v>
      </c>
      <c r="X10" s="158">
        <f>X11+X12+X13</f>
        <v>172011</v>
      </c>
      <c r="Y10" s="158">
        <f>Y11+Y12+Y13</f>
        <v>0</v>
      </c>
      <c r="Z10" s="159">
        <f t="shared" si="1"/>
        <v>529783</v>
      </c>
      <c r="AA10" s="286">
        <f>M10+Z10</f>
        <v>658933</v>
      </c>
      <c r="AB10" s="179"/>
    </row>
    <row r="11" spans="1:28" s="292" customFormat="1">
      <c r="A11" s="282"/>
      <c r="B11" s="291"/>
      <c r="C11" s="291"/>
      <c r="D11" s="291"/>
      <c r="E11" s="291"/>
      <c r="F11" s="291"/>
      <c r="G11" s="291"/>
      <c r="H11" s="163">
        <f>SUM(B11:G11)</f>
        <v>0</v>
      </c>
      <c r="I11" s="291"/>
      <c r="J11" s="291"/>
      <c r="K11" s="291"/>
      <c r="L11" s="291"/>
      <c r="M11" s="163">
        <f t="shared" si="0"/>
        <v>0</v>
      </c>
      <c r="N11" s="284" t="s">
        <v>398</v>
      </c>
      <c r="O11" s="291">
        <v>261507</v>
      </c>
      <c r="P11" s="291"/>
      <c r="Q11" s="291"/>
      <c r="R11" s="291">
        <v>189500</v>
      </c>
      <c r="S11" s="291">
        <v>56469</v>
      </c>
      <c r="T11" s="291"/>
      <c r="U11" s="163">
        <f>SUM(O11:S11)</f>
        <v>507476</v>
      </c>
      <c r="V11" s="291">
        <v>283710</v>
      </c>
      <c r="W11" s="291">
        <v>57316</v>
      </c>
      <c r="X11" s="291">
        <v>166450</v>
      </c>
      <c r="Y11" s="291"/>
      <c r="Z11" s="163">
        <f t="shared" si="1"/>
        <v>507476</v>
      </c>
      <c r="AA11" s="289"/>
      <c r="AB11" s="178"/>
    </row>
    <row r="12" spans="1:28" s="292" customFormat="1">
      <c r="A12" s="283"/>
      <c r="B12" s="291"/>
      <c r="C12" s="291"/>
      <c r="D12" s="291"/>
      <c r="E12" s="291"/>
      <c r="F12" s="291"/>
      <c r="G12" s="291"/>
      <c r="H12" s="163"/>
      <c r="I12" s="291"/>
      <c r="J12" s="291"/>
      <c r="K12" s="291"/>
      <c r="L12" s="291"/>
      <c r="M12" s="163"/>
      <c r="N12" s="284" t="s">
        <v>399</v>
      </c>
      <c r="O12" s="291">
        <v>17000</v>
      </c>
      <c r="P12" s="291"/>
      <c r="Q12" s="291"/>
      <c r="R12" s="291"/>
      <c r="S12" s="291">
        <v>51</v>
      </c>
      <c r="T12" s="291"/>
      <c r="U12" s="163">
        <f>SUM(O12:S12)</f>
        <v>17051</v>
      </c>
      <c r="V12" s="291">
        <v>10116</v>
      </c>
      <c r="W12" s="291">
        <v>2075</v>
      </c>
      <c r="X12" s="291">
        <v>4860</v>
      </c>
      <c r="Y12" s="291"/>
      <c r="Z12" s="163">
        <f t="shared" si="1"/>
        <v>17051</v>
      </c>
      <c r="AA12" s="289"/>
      <c r="AB12" s="178"/>
    </row>
    <row r="13" spans="1:28" s="292" customFormat="1">
      <c r="A13" s="283"/>
      <c r="B13" s="291"/>
      <c r="C13" s="291"/>
      <c r="D13" s="291"/>
      <c r="E13" s="291"/>
      <c r="F13" s="291"/>
      <c r="G13" s="291"/>
      <c r="H13" s="159"/>
      <c r="I13" s="291"/>
      <c r="J13" s="291"/>
      <c r="K13" s="291"/>
      <c r="L13" s="291"/>
      <c r="M13" s="159"/>
      <c r="N13" s="284" t="s">
        <v>400</v>
      </c>
      <c r="O13" s="291"/>
      <c r="P13" s="291"/>
      <c r="Q13" s="291"/>
      <c r="R13" s="291">
        <v>699</v>
      </c>
      <c r="S13" s="291">
        <f>4453+104</f>
        <v>4557</v>
      </c>
      <c r="T13" s="291"/>
      <c r="U13" s="163">
        <f>SUM(O13:S13)</f>
        <v>5256</v>
      </c>
      <c r="V13" s="291">
        <v>3809</v>
      </c>
      <c r="W13" s="291">
        <v>746</v>
      </c>
      <c r="X13" s="291">
        <v>701</v>
      </c>
      <c r="Y13" s="291"/>
      <c r="Z13" s="163">
        <f t="shared" si="1"/>
        <v>5256</v>
      </c>
      <c r="AA13" s="289"/>
      <c r="AB13" s="178"/>
    </row>
    <row r="14" spans="1:28" s="166" customFormat="1">
      <c r="A14" s="280" t="s">
        <v>355</v>
      </c>
      <c r="B14" s="165"/>
      <c r="C14" s="165"/>
      <c r="D14" s="165">
        <v>126905</v>
      </c>
      <c r="E14" s="165"/>
      <c r="F14" s="165"/>
      <c r="G14" s="165"/>
      <c r="H14" s="159">
        <f>SUM(B14:F14)</f>
        <v>126905</v>
      </c>
      <c r="I14" s="165">
        <v>102455</v>
      </c>
      <c r="J14" s="165">
        <v>17918</v>
      </c>
      <c r="K14" s="165">
        <v>6432</v>
      </c>
      <c r="L14" s="165">
        <v>100</v>
      </c>
      <c r="M14" s="159">
        <f>SUM(I14:L14)</f>
        <v>126905</v>
      </c>
      <c r="N14" s="280" t="s">
        <v>355</v>
      </c>
      <c r="O14" s="165"/>
      <c r="P14" s="165"/>
      <c r="Q14" s="165"/>
      <c r="R14" s="165"/>
      <c r="S14" s="165"/>
      <c r="T14" s="165"/>
      <c r="U14" s="159"/>
      <c r="V14" s="165"/>
      <c r="W14" s="165"/>
      <c r="X14" s="165"/>
      <c r="Y14" s="165"/>
      <c r="Z14" s="159"/>
      <c r="AA14" s="286">
        <f t="shared" ref="AA14:AA15" si="3">M14+Z14</f>
        <v>126905</v>
      </c>
      <c r="AB14" s="178"/>
    </row>
    <row r="15" spans="1:28" s="160" customFormat="1">
      <c r="A15" s="280" t="s">
        <v>353</v>
      </c>
      <c r="B15" s="157">
        <v>20757</v>
      </c>
      <c r="C15" s="157"/>
      <c r="D15" s="157"/>
      <c r="E15" s="157">
        <v>1300</v>
      </c>
      <c r="F15" s="157">
        <v>16711</v>
      </c>
      <c r="G15" s="157"/>
      <c r="H15" s="159">
        <f t="shared" ref="H15:H16" si="4">SUM(B15:F15)</f>
        <v>38768</v>
      </c>
      <c r="I15" s="157">
        <v>29934</v>
      </c>
      <c r="J15" s="157">
        <v>5285</v>
      </c>
      <c r="K15" s="157">
        <v>3168</v>
      </c>
      <c r="L15" s="157">
        <v>381</v>
      </c>
      <c r="M15" s="159">
        <f>SUM(I15:L15)</f>
        <v>38768</v>
      </c>
      <c r="N15" s="280" t="s">
        <v>353</v>
      </c>
      <c r="O15" s="157"/>
      <c r="P15" s="157"/>
      <c r="Q15" s="157"/>
      <c r="R15" s="157"/>
      <c r="S15" s="157"/>
      <c r="T15" s="157"/>
      <c r="U15" s="159">
        <f>SUM(O15:S15)</f>
        <v>0</v>
      </c>
      <c r="V15" s="157"/>
      <c r="W15" s="157"/>
      <c r="X15" s="157"/>
      <c r="Y15" s="157"/>
      <c r="Z15" s="159">
        <f>SUM(V15:Y15)</f>
        <v>0</v>
      </c>
      <c r="AA15" s="286">
        <f t="shared" si="3"/>
        <v>38768</v>
      </c>
      <c r="AB15" s="179"/>
    </row>
    <row r="16" spans="1:28" s="164" customFormat="1">
      <c r="A16" s="280" t="s">
        <v>354</v>
      </c>
      <c r="B16" s="157">
        <v>476608</v>
      </c>
      <c r="C16" s="157"/>
      <c r="D16" s="157"/>
      <c r="E16" s="157">
        <v>164599</v>
      </c>
      <c r="F16" s="157">
        <v>393812</v>
      </c>
      <c r="G16" s="157"/>
      <c r="H16" s="159">
        <f t="shared" si="4"/>
        <v>1035019</v>
      </c>
      <c r="I16" s="157">
        <v>531375</v>
      </c>
      <c r="J16" s="157">
        <v>94479</v>
      </c>
      <c r="K16" s="157">
        <v>404774</v>
      </c>
      <c r="L16" s="157">
        <v>4391</v>
      </c>
      <c r="M16" s="159">
        <f>SUM(I16:L16)</f>
        <v>1035019</v>
      </c>
      <c r="N16" s="280" t="s">
        <v>354</v>
      </c>
      <c r="O16" s="158">
        <f t="shared" ref="O16:T16" si="5">O17</f>
        <v>0</v>
      </c>
      <c r="P16" s="158">
        <f t="shared" si="5"/>
        <v>5400</v>
      </c>
      <c r="Q16" s="158">
        <f t="shared" si="5"/>
        <v>0</v>
      </c>
      <c r="R16" s="158">
        <f t="shared" si="5"/>
        <v>0</v>
      </c>
      <c r="S16" s="158">
        <f t="shared" si="5"/>
        <v>18768</v>
      </c>
      <c r="T16" s="158">
        <f t="shared" si="5"/>
        <v>0</v>
      </c>
      <c r="U16" s="163">
        <f>SUM(O16:S16)</f>
        <v>24168</v>
      </c>
      <c r="V16" s="158">
        <f>V17</f>
        <v>19871</v>
      </c>
      <c r="W16" s="158">
        <f>W17</f>
        <v>2467</v>
      </c>
      <c r="X16" s="158">
        <f>X17</f>
        <v>1830</v>
      </c>
      <c r="Y16" s="158">
        <f>Y17</f>
        <v>0</v>
      </c>
      <c r="Z16" s="163">
        <f>SUM(V16:Y16)</f>
        <v>24168</v>
      </c>
      <c r="AA16" s="172">
        <f>M16+Z16</f>
        <v>1059187</v>
      </c>
      <c r="AB16" s="179">
        <v>0</v>
      </c>
    </row>
    <row r="17" spans="1:28" s="164" customFormat="1">
      <c r="A17" s="167"/>
      <c r="B17" s="169"/>
      <c r="C17" s="169"/>
      <c r="D17" s="169"/>
      <c r="E17" s="169"/>
      <c r="F17" s="169"/>
      <c r="G17" s="169"/>
      <c r="H17" s="289"/>
      <c r="I17" s="169"/>
      <c r="J17" s="169"/>
      <c r="K17" s="169"/>
      <c r="L17" s="169"/>
      <c r="M17" s="159"/>
      <c r="N17" s="167" t="s">
        <v>401</v>
      </c>
      <c r="O17" s="168"/>
      <c r="P17" s="168">
        <v>5400</v>
      </c>
      <c r="Q17" s="168"/>
      <c r="R17" s="169"/>
      <c r="S17" s="169">
        <v>18768</v>
      </c>
      <c r="T17" s="169"/>
      <c r="U17" s="163">
        <f>SUM(O17:S17)</f>
        <v>24168</v>
      </c>
      <c r="V17" s="169">
        <v>19871</v>
      </c>
      <c r="W17" s="169">
        <v>2467</v>
      </c>
      <c r="X17" s="169">
        <v>1830</v>
      </c>
      <c r="Y17" s="169"/>
      <c r="Z17" s="163">
        <f>SUM(V17:Y17)</f>
        <v>24168</v>
      </c>
      <c r="AA17" s="289">
        <f>SUM(Z17)</f>
        <v>24168</v>
      </c>
      <c r="AB17" s="179"/>
    </row>
    <row r="18" spans="1:28" s="164" customFormat="1">
      <c r="A18" s="281" t="s">
        <v>402</v>
      </c>
      <c r="B18" s="287">
        <v>5986</v>
      </c>
      <c r="C18" s="287">
        <v>986452</v>
      </c>
      <c r="D18" s="287"/>
      <c r="E18" s="287">
        <f>1447177+60493+6131</f>
        <v>1513801</v>
      </c>
      <c r="F18" s="287"/>
      <c r="G18" s="287">
        <f>1214839+6027+104-6131</f>
        <v>1214839</v>
      </c>
      <c r="H18" s="159">
        <f>SUM(B18:G18)</f>
        <v>3721078</v>
      </c>
      <c r="I18" s="287">
        <v>288260</v>
      </c>
      <c r="J18" s="287">
        <v>40753</v>
      </c>
      <c r="K18" s="287">
        <f>836653+6131</f>
        <v>842784</v>
      </c>
      <c r="L18" s="287">
        <v>2549281</v>
      </c>
      <c r="M18" s="159">
        <f>SUM(I18:L18)</f>
        <v>3721078</v>
      </c>
      <c r="N18" s="281" t="s">
        <v>402</v>
      </c>
      <c r="O18" s="287">
        <f t="shared" ref="O18:Z18" si="6">SUM(O19:O26)</f>
        <v>0</v>
      </c>
      <c r="P18" s="287">
        <f t="shared" si="6"/>
        <v>0</v>
      </c>
      <c r="Q18" s="287">
        <f t="shared" si="6"/>
        <v>0</v>
      </c>
      <c r="R18" s="287">
        <f t="shared" si="6"/>
        <v>12700</v>
      </c>
      <c r="S18" s="287">
        <f t="shared" si="6"/>
        <v>538194</v>
      </c>
      <c r="T18" s="287">
        <f t="shared" si="6"/>
        <v>1302161</v>
      </c>
      <c r="U18" s="159">
        <f t="shared" si="6"/>
        <v>1853055</v>
      </c>
      <c r="V18" s="287">
        <f t="shared" si="6"/>
        <v>14000</v>
      </c>
      <c r="W18" s="287">
        <f t="shared" si="6"/>
        <v>0</v>
      </c>
      <c r="X18" s="287">
        <f t="shared" si="6"/>
        <v>536894</v>
      </c>
      <c r="Y18" s="287">
        <f t="shared" si="6"/>
        <v>1302161</v>
      </c>
      <c r="Z18" s="159">
        <f t="shared" si="6"/>
        <v>1853055</v>
      </c>
      <c r="AA18" s="172">
        <f>M18+Z18</f>
        <v>5574133</v>
      </c>
      <c r="AB18" s="179">
        <v>0</v>
      </c>
    </row>
    <row r="19" spans="1:28" s="164" customFormat="1">
      <c r="A19" s="162"/>
      <c r="B19" s="170"/>
      <c r="C19" s="170"/>
      <c r="D19" s="170"/>
      <c r="E19" s="170"/>
      <c r="F19" s="170"/>
      <c r="G19" s="170"/>
      <c r="H19" s="163"/>
      <c r="I19" s="170"/>
      <c r="J19" s="170"/>
      <c r="K19" s="170"/>
      <c r="L19" s="170"/>
      <c r="M19" s="163">
        <f t="shared" ref="M19:M26" si="7">SUM(I19:L19)</f>
        <v>0</v>
      </c>
      <c r="N19" s="284" t="s">
        <v>403</v>
      </c>
      <c r="O19" s="288"/>
      <c r="P19" s="288"/>
      <c r="Q19" s="288"/>
      <c r="R19" s="170"/>
      <c r="S19" s="170">
        <f>488512-6131</f>
        <v>482381</v>
      </c>
      <c r="T19" s="170"/>
      <c r="U19" s="163">
        <f t="shared" ref="U19:U23" si="8">SUM(O19:T19)</f>
        <v>482381</v>
      </c>
      <c r="V19" s="170"/>
      <c r="W19" s="170"/>
      <c r="X19" s="170">
        <f>488512-6131</f>
        <v>482381</v>
      </c>
      <c r="Y19" s="170"/>
      <c r="Z19" s="163">
        <f t="shared" ref="Z19:Z23" si="9">SUM(V19:Y19)</f>
        <v>482381</v>
      </c>
      <c r="AA19" s="169">
        <f>M19+Z19</f>
        <v>482381</v>
      </c>
      <c r="AB19" s="179"/>
    </row>
    <row r="20" spans="1:28" s="164" customFormat="1">
      <c r="A20" s="284"/>
      <c r="B20" s="169"/>
      <c r="C20" s="169"/>
      <c r="D20" s="169"/>
      <c r="E20" s="169"/>
      <c r="F20" s="169"/>
      <c r="G20" s="169"/>
      <c r="H20" s="163"/>
      <c r="I20" s="169"/>
      <c r="J20" s="169"/>
      <c r="K20" s="169"/>
      <c r="L20" s="169"/>
      <c r="M20" s="163">
        <f t="shared" si="7"/>
        <v>0</v>
      </c>
      <c r="N20" s="284" t="s">
        <v>407</v>
      </c>
      <c r="O20" s="288"/>
      <c r="P20" s="288"/>
      <c r="Q20" s="288"/>
      <c r="R20" s="170"/>
      <c r="S20" s="170">
        <v>3300</v>
      </c>
      <c r="T20" s="170"/>
      <c r="U20" s="163">
        <f t="shared" si="8"/>
        <v>3300</v>
      </c>
      <c r="V20" s="170"/>
      <c r="W20" s="170"/>
      <c r="X20" s="170">
        <v>3300</v>
      </c>
      <c r="Y20" s="170"/>
      <c r="Z20" s="163">
        <f t="shared" si="9"/>
        <v>3300</v>
      </c>
      <c r="AA20" s="169">
        <f>M20+Z20</f>
        <v>3300</v>
      </c>
      <c r="AB20" s="179"/>
    </row>
    <row r="21" spans="1:28" s="164" customFormat="1">
      <c r="A21" s="284"/>
      <c r="B21" s="169"/>
      <c r="C21" s="169"/>
      <c r="D21" s="169"/>
      <c r="E21" s="169"/>
      <c r="F21" s="169"/>
      <c r="G21" s="169"/>
      <c r="H21" s="163"/>
      <c r="I21" s="169"/>
      <c r="J21" s="169"/>
      <c r="K21" s="169"/>
      <c r="L21" s="169"/>
      <c r="M21" s="163">
        <f t="shared" si="7"/>
        <v>0</v>
      </c>
      <c r="N21" s="284" t="s">
        <v>404</v>
      </c>
      <c r="O21" s="288"/>
      <c r="P21" s="288"/>
      <c r="Q21" s="288"/>
      <c r="R21" s="170"/>
      <c r="S21" s="170">
        <v>700</v>
      </c>
      <c r="T21" s="170"/>
      <c r="U21" s="163">
        <f t="shared" si="8"/>
        <v>700</v>
      </c>
      <c r="V21" s="170"/>
      <c r="W21" s="170"/>
      <c r="X21" s="170">
        <v>700</v>
      </c>
      <c r="Y21" s="170"/>
      <c r="Z21" s="163">
        <f t="shared" si="9"/>
        <v>700</v>
      </c>
      <c r="AA21" s="169">
        <f t="shared" ref="AA21:AA23" si="10">M21+Z21</f>
        <v>700</v>
      </c>
      <c r="AB21" s="179"/>
    </row>
    <row r="22" spans="1:28" s="160" customFormat="1">
      <c r="A22" s="284"/>
      <c r="B22" s="169"/>
      <c r="C22" s="169"/>
      <c r="D22" s="169"/>
      <c r="E22" s="169"/>
      <c r="F22" s="169"/>
      <c r="G22" s="169"/>
      <c r="H22" s="163"/>
      <c r="I22" s="169"/>
      <c r="J22" s="169"/>
      <c r="K22" s="169"/>
      <c r="L22" s="169"/>
      <c r="M22" s="163">
        <f t="shared" si="7"/>
        <v>0</v>
      </c>
      <c r="N22" s="284" t="s">
        <v>469</v>
      </c>
      <c r="O22" s="168"/>
      <c r="P22" s="168"/>
      <c r="Q22" s="168"/>
      <c r="R22" s="169"/>
      <c r="S22" s="169">
        <v>47015</v>
      </c>
      <c r="T22" s="169"/>
      <c r="U22" s="163">
        <f t="shared" si="8"/>
        <v>47015</v>
      </c>
      <c r="V22" s="169">
        <v>14000</v>
      </c>
      <c r="W22" s="169"/>
      <c r="X22" s="169">
        <v>33015</v>
      </c>
      <c r="Y22" s="169"/>
      <c r="Z22" s="163">
        <f t="shared" si="9"/>
        <v>47015</v>
      </c>
      <c r="AA22" s="169">
        <f>M22+Z22</f>
        <v>47015</v>
      </c>
      <c r="AB22" s="179"/>
    </row>
    <row r="23" spans="1:28" s="164" customFormat="1">
      <c r="A23" s="162"/>
      <c r="B23" s="170"/>
      <c r="C23" s="170"/>
      <c r="D23" s="170"/>
      <c r="E23" s="170"/>
      <c r="F23" s="170"/>
      <c r="G23" s="170"/>
      <c r="H23" s="163"/>
      <c r="I23" s="169"/>
      <c r="J23" s="169"/>
      <c r="K23" s="169"/>
      <c r="L23" s="169"/>
      <c r="M23" s="163">
        <f t="shared" si="7"/>
        <v>0</v>
      </c>
      <c r="N23" s="284" t="s">
        <v>405</v>
      </c>
      <c r="O23" s="168"/>
      <c r="P23" s="168"/>
      <c r="Q23" s="168"/>
      <c r="R23" s="169"/>
      <c r="S23" s="169">
        <v>988</v>
      </c>
      <c r="T23" s="169"/>
      <c r="U23" s="163">
        <f t="shared" si="8"/>
        <v>988</v>
      </c>
      <c r="V23" s="169"/>
      <c r="W23" s="169"/>
      <c r="X23" s="169">
        <v>988</v>
      </c>
      <c r="Y23" s="169"/>
      <c r="Z23" s="163">
        <f t="shared" si="9"/>
        <v>988</v>
      </c>
      <c r="AA23" s="169">
        <f t="shared" si="10"/>
        <v>988</v>
      </c>
      <c r="AB23" s="179"/>
    </row>
    <row r="24" spans="1:28" s="164" customFormat="1">
      <c r="A24" s="285"/>
      <c r="B24" s="169"/>
      <c r="C24" s="170"/>
      <c r="D24" s="170"/>
      <c r="E24" s="170"/>
      <c r="F24" s="170"/>
      <c r="G24" s="169"/>
      <c r="H24" s="163"/>
      <c r="I24" s="169"/>
      <c r="J24" s="169"/>
      <c r="K24" s="169"/>
      <c r="L24" s="169"/>
      <c r="M24" s="163">
        <f>SUM(I24:L24)</f>
        <v>0</v>
      </c>
      <c r="N24" s="285" t="s">
        <v>406</v>
      </c>
      <c r="O24" s="168"/>
      <c r="P24" s="168"/>
      <c r="Q24" s="168"/>
      <c r="R24" s="169">
        <v>12700</v>
      </c>
      <c r="S24" s="169">
        <v>3810</v>
      </c>
      <c r="T24" s="169"/>
      <c r="U24" s="163">
        <f>SUM(O24:T24)</f>
        <v>16510</v>
      </c>
      <c r="V24" s="169"/>
      <c r="W24" s="169"/>
      <c r="X24" s="169">
        <v>16510</v>
      </c>
      <c r="Y24" s="169"/>
      <c r="Z24" s="163">
        <f>SUM(V24:Y24)</f>
        <v>16510</v>
      </c>
      <c r="AA24" s="169">
        <f>M24+Z24</f>
        <v>16510</v>
      </c>
      <c r="AB24" s="179"/>
    </row>
    <row r="25" spans="1:28" s="160" customFormat="1">
      <c r="A25" s="284"/>
      <c r="B25" s="169"/>
      <c r="C25" s="169"/>
      <c r="D25" s="169"/>
      <c r="E25" s="169"/>
      <c r="F25" s="169"/>
      <c r="G25" s="169"/>
      <c r="H25" s="163"/>
      <c r="I25" s="169"/>
      <c r="J25" s="169"/>
      <c r="K25" s="169"/>
      <c r="L25" s="169"/>
      <c r="M25" s="163">
        <f>SUM(I25:L25)</f>
        <v>0</v>
      </c>
      <c r="N25" s="285" t="s">
        <v>817</v>
      </c>
      <c r="O25" s="168"/>
      <c r="P25" s="168"/>
      <c r="Q25" s="168"/>
      <c r="R25" s="169"/>
      <c r="S25" s="169"/>
      <c r="T25" s="169">
        <f>1302161-104+6131-6027</f>
        <v>1302161</v>
      </c>
      <c r="U25" s="163">
        <f>SUM(O25:T25)</f>
        <v>1302161</v>
      </c>
      <c r="V25" s="169"/>
      <c r="W25" s="169"/>
      <c r="X25" s="169"/>
      <c r="Y25" s="169">
        <f>839749+462412</f>
        <v>1302161</v>
      </c>
      <c r="Z25" s="163">
        <f>SUM(V25:Y25)</f>
        <v>1302161</v>
      </c>
      <c r="AA25" s="169">
        <f>M25+Z25</f>
        <v>1302161</v>
      </c>
      <c r="AB25" s="179"/>
    </row>
    <row r="26" spans="1:28" s="160" customFormat="1">
      <c r="A26" s="285"/>
      <c r="B26" s="169"/>
      <c r="C26" s="169"/>
      <c r="D26" s="169"/>
      <c r="E26" s="169"/>
      <c r="F26" s="169"/>
      <c r="G26" s="169"/>
      <c r="H26" s="163"/>
      <c r="I26" s="169"/>
      <c r="J26" s="169"/>
      <c r="K26" s="169"/>
      <c r="L26" s="169"/>
      <c r="M26" s="163">
        <f t="shared" si="7"/>
        <v>0</v>
      </c>
      <c r="N26" s="179"/>
      <c r="O26" s="168"/>
      <c r="P26" s="168"/>
      <c r="Q26" s="168"/>
      <c r="R26" s="169"/>
      <c r="S26" s="169"/>
      <c r="T26" s="169"/>
      <c r="U26" s="163">
        <f>SUM(O26:T26)</f>
        <v>0</v>
      </c>
      <c r="V26" s="169"/>
      <c r="W26" s="169"/>
      <c r="X26" s="169"/>
      <c r="Y26" s="169"/>
      <c r="Z26" s="163">
        <f>SUM(V26:Y26)</f>
        <v>0</v>
      </c>
      <c r="AA26" s="169">
        <f>M26+Z26</f>
        <v>0</v>
      </c>
      <c r="AB26" s="179"/>
    </row>
    <row r="27" spans="1:28" s="173" customFormat="1">
      <c r="A27" s="171" t="s">
        <v>357</v>
      </c>
      <c r="B27" s="172">
        <f>B6+B7+B8+B9+B10+B14+B15+B16+B18</f>
        <v>1497033</v>
      </c>
      <c r="C27" s="172">
        <f t="shared" ref="C27:M27" si="11">C6+C7+C8+C9+C10+C14+C15+C16+C18</f>
        <v>986452</v>
      </c>
      <c r="D27" s="172">
        <f t="shared" si="11"/>
        <v>126905</v>
      </c>
      <c r="E27" s="172">
        <f t="shared" si="11"/>
        <v>1761028</v>
      </c>
      <c r="F27" s="172">
        <f t="shared" si="11"/>
        <v>509777</v>
      </c>
      <c r="G27" s="172">
        <f t="shared" si="11"/>
        <v>1214839</v>
      </c>
      <c r="H27" s="172">
        <f t="shared" si="11"/>
        <v>6096034</v>
      </c>
      <c r="I27" s="172">
        <f t="shared" si="11"/>
        <v>1881046</v>
      </c>
      <c r="J27" s="172">
        <f t="shared" si="11"/>
        <v>326445</v>
      </c>
      <c r="K27" s="172">
        <f t="shared" si="11"/>
        <v>1330628</v>
      </c>
      <c r="L27" s="172">
        <f t="shared" si="11"/>
        <v>2557915</v>
      </c>
      <c r="M27" s="172">
        <f t="shared" si="11"/>
        <v>6096034</v>
      </c>
      <c r="N27" s="171" t="s">
        <v>357</v>
      </c>
      <c r="O27" s="172">
        <f>O6+O7+O8+O9+O10+O14+O15+O16+O18</f>
        <v>278507</v>
      </c>
      <c r="P27" s="172">
        <f t="shared" ref="P27:Z27" si="12">P6+P7+P8+P9+P10+P14+P15+P16+P18</f>
        <v>5400</v>
      </c>
      <c r="Q27" s="172">
        <f t="shared" si="12"/>
        <v>0</v>
      </c>
      <c r="R27" s="172">
        <f t="shared" si="12"/>
        <v>202899</v>
      </c>
      <c r="S27" s="172">
        <f t="shared" si="12"/>
        <v>618039</v>
      </c>
      <c r="T27" s="172">
        <f t="shared" si="12"/>
        <v>1302161</v>
      </c>
      <c r="U27" s="172">
        <f t="shared" si="12"/>
        <v>2407006</v>
      </c>
      <c r="V27" s="172">
        <f t="shared" si="12"/>
        <v>331506</v>
      </c>
      <c r="W27" s="172">
        <f t="shared" si="12"/>
        <v>62604</v>
      </c>
      <c r="X27" s="172">
        <f t="shared" si="12"/>
        <v>710735</v>
      </c>
      <c r="Y27" s="172">
        <f t="shared" si="12"/>
        <v>1302161</v>
      </c>
      <c r="Z27" s="172">
        <f t="shared" si="12"/>
        <v>2407006</v>
      </c>
      <c r="AA27" s="172">
        <f>AA6+AA7+AA8+AA9+AA10+AA14+AA15+AA16+AA18</f>
        <v>8503040</v>
      </c>
      <c r="AB27" s="179"/>
    </row>
    <row r="28" spans="1:28">
      <c r="A28" s="174"/>
      <c r="B28" s="175"/>
      <c r="C28" s="175"/>
      <c r="D28" s="175"/>
    </row>
    <row r="29" spans="1:28">
      <c r="B29" s="148">
        <f>B27+O27</f>
        <v>1775540</v>
      </c>
      <c r="C29" s="148">
        <f t="shared" ref="C29:M29" si="13">C27+P27</f>
        <v>991852</v>
      </c>
      <c r="D29" s="148">
        <f t="shared" si="13"/>
        <v>126905</v>
      </c>
      <c r="E29" s="148">
        <f t="shared" si="13"/>
        <v>1963927</v>
      </c>
      <c r="F29" s="148">
        <f>F27+S27</f>
        <v>1127816</v>
      </c>
      <c r="G29" s="148">
        <f t="shared" si="13"/>
        <v>2517000</v>
      </c>
      <c r="H29" s="148">
        <f>H27+U27</f>
        <v>8503040</v>
      </c>
      <c r="I29" s="148">
        <f t="shared" si="13"/>
        <v>2212552</v>
      </c>
      <c r="J29" s="148">
        <f t="shared" si="13"/>
        <v>389049</v>
      </c>
      <c r="K29" s="148">
        <f t="shared" si="13"/>
        <v>2041363</v>
      </c>
      <c r="L29" s="148">
        <f t="shared" si="13"/>
        <v>3860076</v>
      </c>
      <c r="M29" s="148">
        <f t="shared" si="13"/>
        <v>8503040</v>
      </c>
    </row>
    <row r="30" spans="1:28">
      <c r="A30" s="176"/>
    </row>
    <row r="31" spans="1:28">
      <c r="A31" s="176"/>
    </row>
  </sheetData>
  <mergeCells count="11">
    <mergeCell ref="K1:L1"/>
    <mergeCell ref="A2:M2"/>
    <mergeCell ref="A3:A5"/>
    <mergeCell ref="B3:M3"/>
    <mergeCell ref="N3:N5"/>
    <mergeCell ref="AA3:AA5"/>
    <mergeCell ref="B4:H4"/>
    <mergeCell ref="I4:M4"/>
    <mergeCell ref="O4:U4"/>
    <mergeCell ref="V4:Z4"/>
    <mergeCell ref="O3:Z3"/>
  </mergeCells>
  <printOptions horizontalCentered="1" verticalCentered="1"/>
  <pageMargins left="0.11811023622047245" right="0.31496062992125984" top="0.15748031496062992" bottom="0.35433070866141736" header="0.11811023622047245" footer="0.11811023622047245"/>
  <pageSetup paperSize="9" scale="86" orientation="landscape" r:id="rId1"/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Q92"/>
  <sheetViews>
    <sheetView view="pageBreakPreview" zoomScaleNormal="100" zoomScaleSheetLayoutView="100" workbookViewId="0">
      <pane xSplit="1" ySplit="5" topLeftCell="B76" activePane="bottomRight" state="frozen"/>
      <selection pane="topRight" activeCell="B1" sqref="B1"/>
      <selection pane="bottomLeft" activeCell="A7" sqref="A7"/>
      <selection pane="bottomRight" activeCell="AN72" sqref="AN72"/>
    </sheetView>
  </sheetViews>
  <sheetFormatPr defaultRowHeight="12"/>
  <cols>
    <col min="1" max="1" width="51.7109375" style="217" customWidth="1"/>
    <col min="2" max="2" width="13.7109375" style="214" hidden="1" customWidth="1"/>
    <col min="3" max="6" width="13.140625" style="214" hidden="1" customWidth="1"/>
    <col min="7" max="7" width="12.85546875" style="214" customWidth="1"/>
    <col min="8" max="8" width="12" style="214" hidden="1" customWidth="1"/>
    <col min="9" max="11" width="12.85546875" style="214" hidden="1" customWidth="1"/>
    <col min="12" max="16" width="12.42578125" style="214" hidden="1" customWidth="1"/>
    <col min="17" max="20" width="12.85546875" style="214" hidden="1" customWidth="1"/>
    <col min="21" max="22" width="14" style="214" hidden="1" customWidth="1"/>
    <col min="23" max="23" width="10.7109375" style="214" customWidth="1"/>
    <col min="24" max="24" width="15.42578125" style="214" customWidth="1"/>
    <col min="25" max="30" width="14" style="214" hidden="1" customWidth="1"/>
    <col min="31" max="31" width="13.42578125" style="214" customWidth="1"/>
    <col min="32" max="32" width="13.85546875" style="214" customWidth="1"/>
    <col min="33" max="33" width="12.42578125" style="214" hidden="1" customWidth="1"/>
    <col min="34" max="39" width="15.5703125" style="214" hidden="1" customWidth="1"/>
    <col min="40" max="40" width="12.140625" style="214" customWidth="1"/>
    <col min="41" max="41" width="12.85546875" style="214" customWidth="1"/>
    <col min="42" max="42" width="15.140625" style="214" customWidth="1"/>
    <col min="43" max="43" width="15.5703125" style="214" customWidth="1"/>
    <col min="44" max="16384" width="9.140625" style="214"/>
  </cols>
  <sheetData>
    <row r="1" spans="1:43" ht="15.75">
      <c r="A1" s="516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517"/>
      <c r="R1" s="517"/>
      <c r="S1" s="517"/>
      <c r="T1" s="517"/>
      <c r="U1" s="517"/>
      <c r="V1" s="517"/>
      <c r="W1" s="517"/>
      <c r="X1" s="517"/>
      <c r="Y1" s="517"/>
      <c r="Z1" s="517"/>
      <c r="AA1" s="517"/>
      <c r="AB1" s="517"/>
      <c r="AC1" s="517"/>
      <c r="AD1" s="517"/>
      <c r="AE1" s="517"/>
      <c r="AF1" s="517"/>
      <c r="AQ1" s="513" t="s">
        <v>302</v>
      </c>
    </row>
    <row r="2" spans="1:43" ht="16.5">
      <c r="A2" s="726" t="s">
        <v>648</v>
      </c>
      <c r="B2" s="726"/>
      <c r="C2" s="726"/>
      <c r="D2" s="726"/>
      <c r="E2" s="726"/>
      <c r="F2" s="726"/>
      <c r="G2" s="726"/>
      <c r="H2" s="726"/>
      <c r="I2" s="726"/>
      <c r="J2" s="726"/>
      <c r="K2" s="726"/>
      <c r="L2" s="726"/>
      <c r="M2" s="726"/>
      <c r="N2" s="726"/>
      <c r="O2" s="726"/>
      <c r="P2" s="726"/>
      <c r="Q2" s="726"/>
      <c r="R2" s="726"/>
      <c r="S2" s="726"/>
      <c r="T2" s="726"/>
      <c r="U2" s="726"/>
      <c r="V2" s="726"/>
      <c r="W2" s="726"/>
      <c r="X2" s="726"/>
      <c r="Y2" s="726"/>
      <c r="Z2" s="726"/>
      <c r="AA2" s="726"/>
      <c r="AB2" s="726"/>
      <c r="AC2" s="726"/>
      <c r="AD2" s="726"/>
      <c r="AE2" s="726"/>
      <c r="AF2" s="726"/>
      <c r="AG2" s="726"/>
      <c r="AH2" s="726"/>
      <c r="AI2" s="726"/>
      <c r="AJ2" s="726"/>
      <c r="AK2" s="726"/>
      <c r="AL2" s="726"/>
      <c r="AM2" s="726"/>
      <c r="AN2" s="726"/>
      <c r="AO2" s="726"/>
      <c r="AP2" s="726"/>
      <c r="AQ2" s="726"/>
    </row>
    <row r="3" spans="1:43" ht="15.75">
      <c r="A3" s="516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H3" s="518"/>
      <c r="AJ3" s="518"/>
      <c r="AL3" s="518"/>
      <c r="AP3" s="518"/>
      <c r="AQ3" s="518" t="s">
        <v>119</v>
      </c>
    </row>
    <row r="4" spans="1:43" ht="39" customHeight="1">
      <c r="A4" s="718" t="s">
        <v>120</v>
      </c>
      <c r="B4" s="719" t="s">
        <v>172</v>
      </c>
      <c r="C4" s="720"/>
      <c r="D4" s="720"/>
      <c r="E4" s="720"/>
      <c r="F4" s="720"/>
      <c r="G4" s="720"/>
      <c r="H4" s="720"/>
      <c r="I4" s="720"/>
      <c r="J4" s="720"/>
      <c r="K4" s="720"/>
      <c r="L4" s="720"/>
      <c r="M4" s="720"/>
      <c r="N4" s="720"/>
      <c r="O4" s="720"/>
      <c r="P4" s="720"/>
      <c r="Q4" s="720"/>
      <c r="R4" s="720"/>
      <c r="S4" s="720"/>
      <c r="T4" s="720"/>
      <c r="U4" s="720"/>
      <c r="V4" s="720"/>
      <c r="W4" s="721"/>
      <c r="X4" s="722" t="s">
        <v>300</v>
      </c>
      <c r="Y4" s="723"/>
      <c r="Z4" s="723"/>
      <c r="AA4" s="723"/>
      <c r="AB4" s="723"/>
      <c r="AC4" s="723"/>
      <c r="AD4" s="723"/>
      <c r="AE4" s="723"/>
      <c r="AF4" s="724" t="s">
        <v>222</v>
      </c>
      <c r="AG4" s="724"/>
      <c r="AH4" s="724"/>
      <c r="AI4" s="724"/>
      <c r="AJ4" s="724"/>
      <c r="AK4" s="724"/>
      <c r="AL4" s="724"/>
      <c r="AM4" s="724"/>
      <c r="AN4" s="725"/>
      <c r="AO4" s="727" t="s">
        <v>572</v>
      </c>
      <c r="AP4" s="724"/>
      <c r="AQ4" s="725"/>
    </row>
    <row r="5" spans="1:43" s="445" customFormat="1" ht="27.75" customHeight="1">
      <c r="A5" s="718"/>
      <c r="B5" s="6" t="s">
        <v>454</v>
      </c>
      <c r="C5" s="6" t="s">
        <v>558</v>
      </c>
      <c r="D5" s="6" t="s">
        <v>559</v>
      </c>
      <c r="E5" s="6" t="s">
        <v>558</v>
      </c>
      <c r="F5" s="6" t="s">
        <v>645</v>
      </c>
      <c r="G5" s="6" t="s">
        <v>1041</v>
      </c>
      <c r="H5" s="6" t="s">
        <v>454</v>
      </c>
      <c r="I5" s="6" t="s">
        <v>558</v>
      </c>
      <c r="J5" s="6" t="s">
        <v>559</v>
      </c>
      <c r="K5" s="6" t="s">
        <v>558</v>
      </c>
      <c r="L5" s="6" t="s">
        <v>645</v>
      </c>
      <c r="M5" s="6" t="s">
        <v>647</v>
      </c>
      <c r="N5" s="6" t="s">
        <v>558</v>
      </c>
      <c r="O5" s="6" t="s">
        <v>559</v>
      </c>
      <c r="P5" s="6" t="s">
        <v>559</v>
      </c>
      <c r="Q5" s="6" t="s">
        <v>454</v>
      </c>
      <c r="R5" s="6" t="s">
        <v>558</v>
      </c>
      <c r="S5" s="6" t="s">
        <v>558</v>
      </c>
      <c r="T5" s="6" t="s">
        <v>645</v>
      </c>
      <c r="U5" s="6" t="s">
        <v>559</v>
      </c>
      <c r="V5" s="6" t="s">
        <v>558</v>
      </c>
      <c r="W5" s="617" t="s">
        <v>803</v>
      </c>
      <c r="X5" s="617" t="s">
        <v>1041</v>
      </c>
      <c r="Y5" s="617" t="s">
        <v>454</v>
      </c>
      <c r="Z5" s="617" t="s">
        <v>558</v>
      </c>
      <c r="AA5" s="617" t="s">
        <v>559</v>
      </c>
      <c r="AB5" s="617" t="s">
        <v>558</v>
      </c>
      <c r="AC5" s="617" t="s">
        <v>645</v>
      </c>
      <c r="AD5" s="617" t="s">
        <v>647</v>
      </c>
      <c r="AE5" s="617" t="s">
        <v>558</v>
      </c>
      <c r="AF5" s="617" t="s">
        <v>1042</v>
      </c>
      <c r="AG5" s="617" t="s">
        <v>559</v>
      </c>
      <c r="AH5" s="617" t="s">
        <v>454</v>
      </c>
      <c r="AI5" s="617" t="s">
        <v>558</v>
      </c>
      <c r="AJ5" s="617" t="s">
        <v>558</v>
      </c>
      <c r="AK5" s="617" t="s">
        <v>645</v>
      </c>
      <c r="AL5" s="617" t="s">
        <v>559</v>
      </c>
      <c r="AM5" s="617" t="s">
        <v>558</v>
      </c>
      <c r="AN5" s="617" t="s">
        <v>803</v>
      </c>
      <c r="AO5" s="6" t="s">
        <v>1041</v>
      </c>
      <c r="AP5" s="617" t="s">
        <v>803</v>
      </c>
      <c r="AQ5" s="617" t="s">
        <v>1043</v>
      </c>
    </row>
    <row r="6" spans="1:43" s="215" customFormat="1" ht="20.25" customHeight="1">
      <c r="A6" s="596" t="s">
        <v>123</v>
      </c>
      <c r="B6" s="356">
        <f t="shared" ref="B6:AQ6" si="0">SUM(B7:B28)</f>
        <v>57103</v>
      </c>
      <c r="C6" s="356">
        <f t="shared" si="0"/>
        <v>0</v>
      </c>
      <c r="D6" s="356">
        <f t="shared" si="0"/>
        <v>57103</v>
      </c>
      <c r="E6" s="356">
        <f t="shared" si="0"/>
        <v>0</v>
      </c>
      <c r="F6" s="356">
        <f t="shared" si="0"/>
        <v>62173</v>
      </c>
      <c r="G6" s="356">
        <f t="shared" si="0"/>
        <v>63268</v>
      </c>
      <c r="H6" s="356">
        <f t="shared" si="0"/>
        <v>11530</v>
      </c>
      <c r="I6" s="356">
        <f t="shared" si="0"/>
        <v>0</v>
      </c>
      <c r="J6" s="356">
        <f t="shared" si="0"/>
        <v>0</v>
      </c>
      <c r="K6" s="356">
        <f t="shared" si="0"/>
        <v>62173</v>
      </c>
      <c r="L6" s="356">
        <f t="shared" si="0"/>
        <v>11530</v>
      </c>
      <c r="M6" s="356">
        <f t="shared" si="0"/>
        <v>0</v>
      </c>
      <c r="N6" s="356">
        <f t="shared" si="0"/>
        <v>0</v>
      </c>
      <c r="O6" s="356">
        <f t="shared" si="0"/>
        <v>62173</v>
      </c>
      <c r="P6" s="356">
        <f t="shared" si="0"/>
        <v>11530</v>
      </c>
      <c r="Q6" s="356">
        <f t="shared" si="0"/>
        <v>123373</v>
      </c>
      <c r="R6" s="356">
        <f t="shared" si="0"/>
        <v>2160</v>
      </c>
      <c r="S6" s="356">
        <f t="shared" si="0"/>
        <v>0</v>
      </c>
      <c r="T6" s="356">
        <f t="shared" si="0"/>
        <v>12275</v>
      </c>
      <c r="U6" s="356">
        <f t="shared" si="0"/>
        <v>125533</v>
      </c>
      <c r="V6" s="356">
        <f t="shared" si="0"/>
        <v>-6000</v>
      </c>
      <c r="W6" s="356">
        <f t="shared" si="0"/>
        <v>0</v>
      </c>
      <c r="X6" s="356">
        <f t="shared" si="0"/>
        <v>11575</v>
      </c>
      <c r="Y6" s="356">
        <f t="shared" si="0"/>
        <v>23850</v>
      </c>
      <c r="Z6" s="356">
        <f t="shared" si="0"/>
        <v>119533</v>
      </c>
      <c r="AA6" s="356">
        <f t="shared" si="0"/>
        <v>2350</v>
      </c>
      <c r="AB6" s="356">
        <f t="shared" si="0"/>
        <v>123373</v>
      </c>
      <c r="AC6" s="356">
        <f t="shared" si="0"/>
        <v>0</v>
      </c>
      <c r="AD6" s="356">
        <f t="shared" si="0"/>
        <v>119284</v>
      </c>
      <c r="AE6" s="356">
        <f t="shared" si="0"/>
        <v>0</v>
      </c>
      <c r="AF6" s="356">
        <f t="shared" si="0"/>
        <v>146174</v>
      </c>
      <c r="AG6" s="356">
        <f t="shared" si="0"/>
        <v>192006</v>
      </c>
      <c r="AH6" s="356">
        <f t="shared" si="0"/>
        <v>2160</v>
      </c>
      <c r="AI6" s="356">
        <f t="shared" si="0"/>
        <v>194166</v>
      </c>
      <c r="AJ6" s="356">
        <f t="shared" si="0"/>
        <v>-6000</v>
      </c>
      <c r="AK6" s="356">
        <f t="shared" si="0"/>
        <v>193236</v>
      </c>
      <c r="AL6" s="356">
        <f t="shared" si="0"/>
        <v>2350</v>
      </c>
      <c r="AM6" s="356">
        <f t="shared" si="0"/>
        <v>193732</v>
      </c>
      <c r="AN6" s="356">
        <f t="shared" si="0"/>
        <v>0</v>
      </c>
      <c r="AO6" s="356">
        <f t="shared" si="0"/>
        <v>221017</v>
      </c>
      <c r="AP6" s="356">
        <f t="shared" si="0"/>
        <v>0</v>
      </c>
      <c r="AQ6" s="356">
        <f t="shared" si="0"/>
        <v>221017</v>
      </c>
    </row>
    <row r="7" spans="1:43" s="216" customFormat="1" ht="27.75" hidden="1" customHeight="1">
      <c r="A7" s="597" t="s">
        <v>1032</v>
      </c>
      <c r="B7" s="364"/>
      <c r="C7" s="364"/>
      <c r="D7" s="364"/>
      <c r="E7" s="364"/>
      <c r="F7" s="364"/>
      <c r="G7" s="364"/>
      <c r="H7" s="364"/>
      <c r="I7" s="364"/>
      <c r="J7" s="364"/>
      <c r="K7" s="364"/>
      <c r="L7" s="364"/>
      <c r="M7" s="364"/>
      <c r="N7" s="364"/>
      <c r="O7" s="364"/>
      <c r="P7" s="364"/>
      <c r="Q7" s="364">
        <f>3430+7000</f>
        <v>10430</v>
      </c>
      <c r="R7" s="364"/>
      <c r="S7" s="364"/>
      <c r="T7" s="364"/>
      <c r="U7" s="364">
        <f>SUM(Q7:R7)</f>
        <v>10430</v>
      </c>
      <c r="V7" s="364"/>
      <c r="W7" s="364"/>
      <c r="X7" s="364"/>
      <c r="Y7" s="364"/>
      <c r="Z7" s="364">
        <f>SUM(U7:V7)</f>
        <v>10430</v>
      </c>
      <c r="AA7" s="364"/>
      <c r="AB7" s="364">
        <f>SUM(Z7:AA7)</f>
        <v>10430</v>
      </c>
      <c r="AC7" s="364"/>
      <c r="AD7" s="364">
        <v>10430</v>
      </c>
      <c r="AE7" s="364"/>
      <c r="AF7" s="364">
        <f>-7000+10430</f>
        <v>3430</v>
      </c>
      <c r="AG7" s="361">
        <f>B7+H7+Q7</f>
        <v>10430</v>
      </c>
      <c r="AH7" s="361">
        <f>C7+I7+R7</f>
        <v>0</v>
      </c>
      <c r="AI7" s="361">
        <f>D7+L7+U7</f>
        <v>10430</v>
      </c>
      <c r="AJ7" s="361">
        <f>E7+M7+V7</f>
        <v>0</v>
      </c>
      <c r="AK7" s="361">
        <f>F7+P7+Z7</f>
        <v>10430</v>
      </c>
      <c r="AL7" s="361">
        <f>J7+S7+AA7</f>
        <v>0</v>
      </c>
      <c r="AM7" s="361">
        <f>F7+T7+AD7</f>
        <v>10430</v>
      </c>
      <c r="AN7" s="361"/>
      <c r="AO7" s="361">
        <f>G7+X7+AF7</f>
        <v>3430</v>
      </c>
      <c r="AP7" s="361">
        <f>W7+AE7+AN7</f>
        <v>0</v>
      </c>
      <c r="AQ7" s="361">
        <f>SUM(AO7:AP7)</f>
        <v>3430</v>
      </c>
    </row>
    <row r="8" spans="1:43" s="216" customFormat="1" ht="27.75" hidden="1" customHeight="1">
      <c r="A8" s="597" t="s">
        <v>821</v>
      </c>
      <c r="B8" s="364"/>
      <c r="C8" s="364"/>
      <c r="D8" s="364"/>
      <c r="E8" s="364"/>
      <c r="F8" s="364"/>
      <c r="G8" s="364"/>
      <c r="H8" s="364"/>
      <c r="I8" s="364"/>
      <c r="J8" s="364"/>
      <c r="K8" s="364"/>
      <c r="L8" s="364"/>
      <c r="M8" s="364"/>
      <c r="N8" s="364"/>
      <c r="O8" s="364"/>
      <c r="P8" s="364"/>
      <c r="Q8" s="364"/>
      <c r="R8" s="364"/>
      <c r="S8" s="364"/>
      <c r="T8" s="364"/>
      <c r="U8" s="364"/>
      <c r="V8" s="364"/>
      <c r="W8" s="364"/>
      <c r="X8" s="364"/>
      <c r="Y8" s="364"/>
      <c r="Z8" s="364"/>
      <c r="AA8" s="364"/>
      <c r="AB8" s="364"/>
      <c r="AC8" s="364"/>
      <c r="AD8" s="364"/>
      <c r="AE8" s="364"/>
      <c r="AF8" s="364">
        <v>66493</v>
      </c>
      <c r="AG8" s="361"/>
      <c r="AH8" s="361"/>
      <c r="AI8" s="361"/>
      <c r="AJ8" s="361"/>
      <c r="AK8" s="361"/>
      <c r="AL8" s="361"/>
      <c r="AM8" s="361"/>
      <c r="AN8" s="361"/>
      <c r="AO8" s="361">
        <f>AF8</f>
        <v>66493</v>
      </c>
      <c r="AP8" s="361">
        <f t="shared" ref="AP8:AP30" si="1">W8+AE8+AN8</f>
        <v>0</v>
      </c>
      <c r="AQ8" s="361">
        <f t="shared" ref="AQ8:AQ28" si="2">SUM(AO8:AP8)</f>
        <v>66493</v>
      </c>
    </row>
    <row r="9" spans="1:43" s="216" customFormat="1" ht="15" hidden="1">
      <c r="A9" s="597" t="s">
        <v>1017</v>
      </c>
      <c r="B9" s="364"/>
      <c r="C9" s="364"/>
      <c r="D9" s="364"/>
      <c r="E9" s="364"/>
      <c r="F9" s="364"/>
      <c r="G9" s="364"/>
      <c r="H9" s="364"/>
      <c r="I9" s="364"/>
      <c r="J9" s="364"/>
      <c r="K9" s="364"/>
      <c r="L9" s="364"/>
      <c r="M9" s="364"/>
      <c r="N9" s="364"/>
      <c r="O9" s="364"/>
      <c r="P9" s="364"/>
      <c r="Q9" s="364">
        <f>3810+4191</f>
        <v>8001</v>
      </c>
      <c r="R9" s="364"/>
      <c r="S9" s="364"/>
      <c r="T9" s="364"/>
      <c r="U9" s="364">
        <f t="shared" ref="U9:U28" si="3">SUM(Q9:R9)</f>
        <v>8001</v>
      </c>
      <c r="V9" s="364"/>
      <c r="W9" s="364"/>
      <c r="X9" s="364"/>
      <c r="Y9" s="364"/>
      <c r="Z9" s="364">
        <f t="shared" ref="Z9:Z28" si="4">SUM(U9:V9)</f>
        <v>8001</v>
      </c>
      <c r="AA9" s="364"/>
      <c r="AB9" s="364">
        <f t="shared" ref="AB9:AB28" si="5">SUM(Z9:AA9)</f>
        <v>8001</v>
      </c>
      <c r="AC9" s="364"/>
      <c r="AD9" s="364">
        <v>8001</v>
      </c>
      <c r="AE9" s="364"/>
      <c r="AF9" s="364">
        <f>3810+4191-2540</f>
        <v>5461</v>
      </c>
      <c r="AG9" s="361">
        <f t="shared" ref="AG9:AH16" si="6">B9+H9+Q9</f>
        <v>8001</v>
      </c>
      <c r="AH9" s="361">
        <f t="shared" si="6"/>
        <v>0</v>
      </c>
      <c r="AI9" s="361">
        <f t="shared" ref="AI9:AJ16" si="7">D9+L9+U9</f>
        <v>8001</v>
      </c>
      <c r="AJ9" s="361">
        <f t="shared" si="7"/>
        <v>0</v>
      </c>
      <c r="AK9" s="361">
        <f t="shared" ref="AK9:AK16" si="8">F9+P9+Z9</f>
        <v>8001</v>
      </c>
      <c r="AL9" s="361">
        <f t="shared" ref="AL9:AL16" si="9">J9+S9+AA9</f>
        <v>0</v>
      </c>
      <c r="AM9" s="361">
        <f t="shared" ref="AM9:AM16" si="10">F9+T9+AD9</f>
        <v>8001</v>
      </c>
      <c r="AN9" s="361"/>
      <c r="AO9" s="361">
        <f t="shared" ref="AO9:AO28" si="11">G9+X9+AF9</f>
        <v>5461</v>
      </c>
      <c r="AP9" s="361">
        <f t="shared" si="1"/>
        <v>0</v>
      </c>
      <c r="AQ9" s="361">
        <f t="shared" si="2"/>
        <v>5461</v>
      </c>
    </row>
    <row r="10" spans="1:43" s="216" customFormat="1" ht="30" hidden="1">
      <c r="A10" s="597" t="s">
        <v>452</v>
      </c>
      <c r="B10" s="364"/>
      <c r="C10" s="364"/>
      <c r="D10" s="364"/>
      <c r="E10" s="364"/>
      <c r="F10" s="364"/>
      <c r="G10" s="364"/>
      <c r="H10" s="364"/>
      <c r="I10" s="364"/>
      <c r="J10" s="364"/>
      <c r="K10" s="364"/>
      <c r="L10" s="364"/>
      <c r="M10" s="364"/>
      <c r="N10" s="364"/>
      <c r="O10" s="364"/>
      <c r="P10" s="364"/>
      <c r="Q10" s="364">
        <v>31200</v>
      </c>
      <c r="R10" s="364"/>
      <c r="S10" s="364"/>
      <c r="T10" s="364"/>
      <c r="U10" s="364">
        <f t="shared" si="3"/>
        <v>31200</v>
      </c>
      <c r="V10" s="364"/>
      <c r="W10" s="364"/>
      <c r="X10" s="364"/>
      <c r="Y10" s="364"/>
      <c r="Z10" s="364">
        <f t="shared" si="4"/>
        <v>31200</v>
      </c>
      <c r="AA10" s="364">
        <v>-750</v>
      </c>
      <c r="AB10" s="364">
        <v>31200</v>
      </c>
      <c r="AC10" s="364"/>
      <c r="AD10" s="364">
        <v>27711</v>
      </c>
      <c r="AE10" s="364"/>
      <c r="AF10" s="364">
        <f>25000-15000</f>
        <v>10000</v>
      </c>
      <c r="AG10" s="361">
        <f t="shared" si="6"/>
        <v>31200</v>
      </c>
      <c r="AH10" s="361">
        <f t="shared" si="6"/>
        <v>0</v>
      </c>
      <c r="AI10" s="361">
        <f t="shared" si="7"/>
        <v>31200</v>
      </c>
      <c r="AJ10" s="361">
        <f t="shared" si="7"/>
        <v>0</v>
      </c>
      <c r="AK10" s="361">
        <f t="shared" si="8"/>
        <v>31200</v>
      </c>
      <c r="AL10" s="361">
        <f t="shared" si="9"/>
        <v>-750</v>
      </c>
      <c r="AM10" s="361">
        <f t="shared" si="10"/>
        <v>27711</v>
      </c>
      <c r="AN10" s="361"/>
      <c r="AO10" s="361">
        <f t="shared" si="11"/>
        <v>10000</v>
      </c>
      <c r="AP10" s="361">
        <f t="shared" si="1"/>
        <v>0</v>
      </c>
      <c r="AQ10" s="361">
        <f t="shared" si="2"/>
        <v>10000</v>
      </c>
    </row>
    <row r="11" spans="1:43" s="216" customFormat="1" ht="18.75" hidden="1" customHeight="1">
      <c r="A11" s="597" t="s">
        <v>449</v>
      </c>
      <c r="B11" s="364"/>
      <c r="C11" s="364"/>
      <c r="D11" s="364"/>
      <c r="E11" s="364"/>
      <c r="F11" s="364"/>
      <c r="G11" s="364"/>
      <c r="H11" s="364"/>
      <c r="I11" s="364"/>
      <c r="J11" s="364"/>
      <c r="K11" s="364"/>
      <c r="L11" s="364"/>
      <c r="M11" s="364"/>
      <c r="N11" s="364"/>
      <c r="O11" s="364"/>
      <c r="P11" s="364"/>
      <c r="Q11" s="364">
        <f>14000-1641</f>
        <v>12359</v>
      </c>
      <c r="R11" s="364"/>
      <c r="S11" s="364"/>
      <c r="T11" s="364"/>
      <c r="U11" s="364">
        <f t="shared" si="3"/>
        <v>12359</v>
      </c>
      <c r="V11" s="364"/>
      <c r="W11" s="364"/>
      <c r="X11" s="364"/>
      <c r="Y11" s="364"/>
      <c r="Z11" s="364">
        <f t="shared" si="4"/>
        <v>12359</v>
      </c>
      <c r="AA11" s="364"/>
      <c r="AB11" s="364">
        <f t="shared" si="5"/>
        <v>12359</v>
      </c>
      <c r="AC11" s="364"/>
      <c r="AD11" s="364">
        <v>12359</v>
      </c>
      <c r="AE11" s="364"/>
      <c r="AF11" s="364">
        <v>12500</v>
      </c>
      <c r="AG11" s="361">
        <f t="shared" si="6"/>
        <v>12359</v>
      </c>
      <c r="AH11" s="361">
        <f t="shared" si="6"/>
        <v>0</v>
      </c>
      <c r="AI11" s="361">
        <f t="shared" si="7"/>
        <v>12359</v>
      </c>
      <c r="AJ11" s="361">
        <f t="shared" si="7"/>
        <v>0</v>
      </c>
      <c r="AK11" s="361">
        <f t="shared" si="8"/>
        <v>12359</v>
      </c>
      <c r="AL11" s="361">
        <f t="shared" si="9"/>
        <v>0</v>
      </c>
      <c r="AM11" s="361">
        <f t="shared" si="10"/>
        <v>12359</v>
      </c>
      <c r="AN11" s="361"/>
      <c r="AO11" s="361">
        <f t="shared" si="11"/>
        <v>12500</v>
      </c>
      <c r="AP11" s="361">
        <f t="shared" si="1"/>
        <v>0</v>
      </c>
      <c r="AQ11" s="361">
        <f t="shared" si="2"/>
        <v>12500</v>
      </c>
    </row>
    <row r="12" spans="1:43" s="216" customFormat="1" ht="30" hidden="1">
      <c r="A12" s="597" t="s">
        <v>673</v>
      </c>
      <c r="B12" s="364"/>
      <c r="C12" s="364"/>
      <c r="D12" s="364"/>
      <c r="E12" s="364"/>
      <c r="F12" s="364"/>
      <c r="G12" s="364"/>
      <c r="H12" s="364"/>
      <c r="I12" s="364"/>
      <c r="J12" s="364"/>
      <c r="K12" s="364"/>
      <c r="L12" s="364"/>
      <c r="M12" s="364"/>
      <c r="N12" s="364"/>
      <c r="O12" s="364"/>
      <c r="P12" s="364"/>
      <c r="Q12" s="364">
        <v>4057</v>
      </c>
      <c r="R12" s="364"/>
      <c r="S12" s="364"/>
      <c r="T12" s="364"/>
      <c r="U12" s="364">
        <f t="shared" si="3"/>
        <v>4057</v>
      </c>
      <c r="V12" s="364"/>
      <c r="W12" s="364"/>
      <c r="X12" s="364"/>
      <c r="Y12" s="364"/>
      <c r="Z12" s="364">
        <f t="shared" si="4"/>
        <v>4057</v>
      </c>
      <c r="AA12" s="364"/>
      <c r="AB12" s="364">
        <f t="shared" si="5"/>
        <v>4057</v>
      </c>
      <c r="AC12" s="364"/>
      <c r="AD12" s="364">
        <v>4057</v>
      </c>
      <c r="AE12" s="364"/>
      <c r="AF12" s="364">
        <v>2682</v>
      </c>
      <c r="AG12" s="361">
        <f t="shared" si="6"/>
        <v>4057</v>
      </c>
      <c r="AH12" s="361">
        <f t="shared" si="6"/>
        <v>0</v>
      </c>
      <c r="AI12" s="361">
        <f t="shared" si="7"/>
        <v>4057</v>
      </c>
      <c r="AJ12" s="361">
        <f t="shared" si="7"/>
        <v>0</v>
      </c>
      <c r="AK12" s="361">
        <f t="shared" si="8"/>
        <v>4057</v>
      </c>
      <c r="AL12" s="361">
        <f t="shared" si="9"/>
        <v>0</v>
      </c>
      <c r="AM12" s="361">
        <f t="shared" si="10"/>
        <v>4057</v>
      </c>
      <c r="AN12" s="361"/>
      <c r="AO12" s="361">
        <f t="shared" si="11"/>
        <v>2682</v>
      </c>
      <c r="AP12" s="361">
        <f t="shared" si="1"/>
        <v>0</v>
      </c>
      <c r="AQ12" s="361">
        <f t="shared" si="2"/>
        <v>2682</v>
      </c>
    </row>
    <row r="13" spans="1:43" s="216" customFormat="1" ht="30" hidden="1">
      <c r="A13" s="597" t="s">
        <v>124</v>
      </c>
      <c r="B13" s="364">
        <f>25869+11009+8808+4404+2553+400</f>
        <v>53043</v>
      </c>
      <c r="C13" s="364"/>
      <c r="D13" s="364">
        <f>SUM(B13:C13)</f>
        <v>53043</v>
      </c>
      <c r="E13" s="364"/>
      <c r="F13" s="364">
        <v>58513</v>
      </c>
      <c r="G13" s="364">
        <v>60241</v>
      </c>
      <c r="H13" s="364">
        <v>10266</v>
      </c>
      <c r="I13" s="364"/>
      <c r="J13" s="364"/>
      <c r="K13" s="364">
        <v>58513</v>
      </c>
      <c r="L13" s="364">
        <f>SUM(H13:I13)</f>
        <v>10266</v>
      </c>
      <c r="M13" s="364"/>
      <c r="N13" s="364"/>
      <c r="O13" s="364">
        <f>K13+N13</f>
        <v>58513</v>
      </c>
      <c r="P13" s="364">
        <f>SUM(L13:M13)</f>
        <v>10266</v>
      </c>
      <c r="Q13" s="364"/>
      <c r="R13" s="364"/>
      <c r="S13" s="364"/>
      <c r="T13" s="364">
        <v>11011</v>
      </c>
      <c r="U13" s="364">
        <f t="shared" si="3"/>
        <v>0</v>
      </c>
      <c r="V13" s="364"/>
      <c r="W13" s="364"/>
      <c r="X13" s="364">
        <v>10610</v>
      </c>
      <c r="Y13" s="364">
        <f>T13+X13</f>
        <v>21621</v>
      </c>
      <c r="Z13" s="364">
        <f t="shared" si="4"/>
        <v>0</v>
      </c>
      <c r="AA13" s="364"/>
      <c r="AB13" s="364">
        <f t="shared" si="5"/>
        <v>0</v>
      </c>
      <c r="AC13" s="364"/>
      <c r="AD13" s="364">
        <v>0</v>
      </c>
      <c r="AE13" s="364"/>
      <c r="AF13" s="364"/>
      <c r="AG13" s="361">
        <f t="shared" si="6"/>
        <v>63309</v>
      </c>
      <c r="AH13" s="361">
        <f t="shared" si="6"/>
        <v>0</v>
      </c>
      <c r="AI13" s="361">
        <f t="shared" si="7"/>
        <v>63309</v>
      </c>
      <c r="AJ13" s="361">
        <f t="shared" si="7"/>
        <v>0</v>
      </c>
      <c r="AK13" s="361">
        <f t="shared" si="8"/>
        <v>68779</v>
      </c>
      <c r="AL13" s="361">
        <f t="shared" si="9"/>
        <v>0</v>
      </c>
      <c r="AM13" s="361">
        <f t="shared" si="10"/>
        <v>69524</v>
      </c>
      <c r="AN13" s="361"/>
      <c r="AO13" s="361">
        <f t="shared" si="11"/>
        <v>70851</v>
      </c>
      <c r="AP13" s="361">
        <f t="shared" si="1"/>
        <v>0</v>
      </c>
      <c r="AQ13" s="361">
        <f t="shared" si="2"/>
        <v>70851</v>
      </c>
    </row>
    <row r="14" spans="1:43" s="216" customFormat="1" ht="20.25" hidden="1" customHeight="1">
      <c r="A14" s="597" t="s">
        <v>812</v>
      </c>
      <c r="B14" s="364"/>
      <c r="C14" s="364"/>
      <c r="D14" s="364"/>
      <c r="E14" s="364"/>
      <c r="F14" s="364"/>
      <c r="G14" s="364"/>
      <c r="H14" s="364"/>
      <c r="I14" s="364"/>
      <c r="J14" s="364"/>
      <c r="K14" s="364"/>
      <c r="L14" s="364"/>
      <c r="M14" s="364"/>
      <c r="N14" s="364"/>
      <c r="O14" s="364"/>
      <c r="P14" s="364"/>
      <c r="Q14" s="364">
        <v>16639</v>
      </c>
      <c r="R14" s="364"/>
      <c r="S14" s="364"/>
      <c r="T14" s="364"/>
      <c r="U14" s="364">
        <f t="shared" si="3"/>
        <v>16639</v>
      </c>
      <c r="V14" s="364">
        <v>-6000</v>
      </c>
      <c r="W14" s="364"/>
      <c r="X14" s="364"/>
      <c r="Y14" s="364"/>
      <c r="Z14" s="364">
        <f t="shared" si="4"/>
        <v>10639</v>
      </c>
      <c r="AA14" s="364"/>
      <c r="AB14" s="364">
        <v>16639</v>
      </c>
      <c r="AC14" s="364"/>
      <c r="AD14" s="364">
        <v>10639</v>
      </c>
      <c r="AE14" s="364"/>
      <c r="AF14" s="364">
        <v>0</v>
      </c>
      <c r="AG14" s="361">
        <f t="shared" si="6"/>
        <v>16639</v>
      </c>
      <c r="AH14" s="361">
        <f t="shared" si="6"/>
        <v>0</v>
      </c>
      <c r="AI14" s="361">
        <f t="shared" si="7"/>
        <v>16639</v>
      </c>
      <c r="AJ14" s="361">
        <f t="shared" si="7"/>
        <v>-6000</v>
      </c>
      <c r="AK14" s="361">
        <f t="shared" si="8"/>
        <v>10639</v>
      </c>
      <c r="AL14" s="361">
        <f t="shared" si="9"/>
        <v>0</v>
      </c>
      <c r="AM14" s="361">
        <f t="shared" si="10"/>
        <v>10639</v>
      </c>
      <c r="AN14" s="361"/>
      <c r="AO14" s="361">
        <f t="shared" si="11"/>
        <v>0</v>
      </c>
      <c r="AP14" s="361">
        <f t="shared" si="1"/>
        <v>0</v>
      </c>
      <c r="AQ14" s="361">
        <f t="shared" si="2"/>
        <v>0</v>
      </c>
    </row>
    <row r="15" spans="1:43" s="216" customFormat="1" ht="19.5" hidden="1" customHeight="1">
      <c r="A15" s="597" t="s">
        <v>125</v>
      </c>
      <c r="B15" s="364">
        <v>2600</v>
      </c>
      <c r="C15" s="364"/>
      <c r="D15" s="364">
        <f>SUM(B15:C15)</f>
        <v>2600</v>
      </c>
      <c r="E15" s="364"/>
      <c r="F15" s="364">
        <v>2600</v>
      </c>
      <c r="G15" s="364">
        <v>1875</v>
      </c>
      <c r="H15" s="364">
        <v>1058</v>
      </c>
      <c r="I15" s="364"/>
      <c r="J15" s="364"/>
      <c r="K15" s="364">
        <f>F15+J15</f>
        <v>2600</v>
      </c>
      <c r="L15" s="364">
        <f>SUM(H15:I15)</f>
        <v>1058</v>
      </c>
      <c r="M15" s="364"/>
      <c r="N15" s="364"/>
      <c r="O15" s="364">
        <f>K15+N15</f>
        <v>2600</v>
      </c>
      <c r="P15" s="364">
        <f>SUM(L15:M15)</f>
        <v>1058</v>
      </c>
      <c r="Q15" s="364">
        <f>900-558</f>
        <v>342</v>
      </c>
      <c r="R15" s="364"/>
      <c r="S15" s="364"/>
      <c r="T15" s="364">
        <f>P15+S15</f>
        <v>1058</v>
      </c>
      <c r="U15" s="364">
        <f t="shared" si="3"/>
        <v>342</v>
      </c>
      <c r="V15" s="364"/>
      <c r="W15" s="364"/>
      <c r="X15" s="364">
        <v>763</v>
      </c>
      <c r="Y15" s="364">
        <f>T15+X15</f>
        <v>1821</v>
      </c>
      <c r="Z15" s="364">
        <f t="shared" si="4"/>
        <v>342</v>
      </c>
      <c r="AA15" s="364"/>
      <c r="AB15" s="364">
        <v>342</v>
      </c>
      <c r="AC15" s="364"/>
      <c r="AD15" s="364">
        <v>482</v>
      </c>
      <c r="AE15" s="364"/>
      <c r="AF15" s="364">
        <v>362</v>
      </c>
      <c r="AG15" s="361">
        <f t="shared" si="6"/>
        <v>4000</v>
      </c>
      <c r="AH15" s="361">
        <f t="shared" si="6"/>
        <v>0</v>
      </c>
      <c r="AI15" s="361">
        <f t="shared" si="7"/>
        <v>4000</v>
      </c>
      <c r="AJ15" s="361">
        <f t="shared" si="7"/>
        <v>0</v>
      </c>
      <c r="AK15" s="361">
        <f t="shared" si="8"/>
        <v>4000</v>
      </c>
      <c r="AL15" s="361">
        <f t="shared" si="9"/>
        <v>0</v>
      </c>
      <c r="AM15" s="361">
        <f t="shared" si="10"/>
        <v>4140</v>
      </c>
      <c r="AN15" s="361"/>
      <c r="AO15" s="361">
        <f t="shared" si="11"/>
        <v>3000</v>
      </c>
      <c r="AP15" s="361">
        <f t="shared" si="1"/>
        <v>0</v>
      </c>
      <c r="AQ15" s="361">
        <f t="shared" si="2"/>
        <v>3000</v>
      </c>
    </row>
    <row r="16" spans="1:43" s="216" customFormat="1" ht="45" hidden="1">
      <c r="A16" s="597" t="s">
        <v>813</v>
      </c>
      <c r="B16" s="364"/>
      <c r="C16" s="364"/>
      <c r="D16" s="364"/>
      <c r="E16" s="364"/>
      <c r="F16" s="364"/>
      <c r="G16" s="364"/>
      <c r="H16" s="364"/>
      <c r="I16" s="364"/>
      <c r="J16" s="364"/>
      <c r="K16" s="364"/>
      <c r="L16" s="364"/>
      <c r="M16" s="364"/>
      <c r="N16" s="364"/>
      <c r="O16" s="364"/>
      <c r="P16" s="364"/>
      <c r="Q16" s="364">
        <v>10160</v>
      </c>
      <c r="R16" s="364"/>
      <c r="S16" s="364"/>
      <c r="T16" s="364"/>
      <c r="U16" s="364">
        <f t="shared" si="3"/>
        <v>10160</v>
      </c>
      <c r="V16" s="364"/>
      <c r="W16" s="364"/>
      <c r="X16" s="364"/>
      <c r="Y16" s="364"/>
      <c r="Z16" s="364">
        <f t="shared" si="4"/>
        <v>10160</v>
      </c>
      <c r="AA16" s="364"/>
      <c r="AB16" s="364">
        <f t="shared" si="5"/>
        <v>10160</v>
      </c>
      <c r="AC16" s="364"/>
      <c r="AD16" s="364">
        <v>10160</v>
      </c>
      <c r="AE16" s="364"/>
      <c r="AF16" s="364">
        <v>10160</v>
      </c>
      <c r="AG16" s="361">
        <f t="shared" si="6"/>
        <v>10160</v>
      </c>
      <c r="AH16" s="361">
        <f t="shared" si="6"/>
        <v>0</v>
      </c>
      <c r="AI16" s="361">
        <f t="shared" si="7"/>
        <v>10160</v>
      </c>
      <c r="AJ16" s="361">
        <f t="shared" si="7"/>
        <v>0</v>
      </c>
      <c r="AK16" s="361">
        <f t="shared" si="8"/>
        <v>10160</v>
      </c>
      <c r="AL16" s="361">
        <f t="shared" si="9"/>
        <v>0</v>
      </c>
      <c r="AM16" s="361">
        <f t="shared" si="10"/>
        <v>10160</v>
      </c>
      <c r="AN16" s="361"/>
      <c r="AO16" s="361">
        <f t="shared" si="11"/>
        <v>10160</v>
      </c>
      <c r="AP16" s="361">
        <f t="shared" si="1"/>
        <v>0</v>
      </c>
      <c r="AQ16" s="361">
        <f t="shared" si="2"/>
        <v>10160</v>
      </c>
    </row>
    <row r="17" spans="1:43" s="216" customFormat="1" ht="15" hidden="1">
      <c r="A17" s="597" t="s">
        <v>671</v>
      </c>
      <c r="B17" s="364"/>
      <c r="C17" s="364"/>
      <c r="D17" s="364"/>
      <c r="E17" s="364"/>
      <c r="F17" s="364"/>
      <c r="G17" s="364"/>
      <c r="H17" s="364"/>
      <c r="I17" s="364"/>
      <c r="J17" s="364"/>
      <c r="K17" s="364"/>
      <c r="L17" s="364"/>
      <c r="M17" s="364"/>
      <c r="N17" s="364"/>
      <c r="O17" s="364"/>
      <c r="P17" s="364"/>
      <c r="Q17" s="364"/>
      <c r="R17" s="364"/>
      <c r="S17" s="364"/>
      <c r="T17" s="364"/>
      <c r="U17" s="364"/>
      <c r="V17" s="364"/>
      <c r="W17" s="364"/>
      <c r="X17" s="364"/>
      <c r="Y17" s="364"/>
      <c r="Z17" s="364"/>
      <c r="AA17" s="364"/>
      <c r="AB17" s="364"/>
      <c r="AC17" s="364"/>
      <c r="AD17" s="364"/>
      <c r="AE17" s="364"/>
      <c r="AF17" s="364">
        <v>12</v>
      </c>
      <c r="AG17" s="361"/>
      <c r="AH17" s="361"/>
      <c r="AI17" s="361"/>
      <c r="AJ17" s="361"/>
      <c r="AK17" s="361"/>
      <c r="AL17" s="361"/>
      <c r="AM17" s="361"/>
      <c r="AN17" s="361"/>
      <c r="AO17" s="361">
        <f t="shared" si="11"/>
        <v>12</v>
      </c>
      <c r="AP17" s="361">
        <f t="shared" si="1"/>
        <v>0</v>
      </c>
      <c r="AQ17" s="361">
        <f t="shared" si="2"/>
        <v>12</v>
      </c>
    </row>
    <row r="18" spans="1:43" s="216" customFormat="1" ht="18.75" hidden="1" customHeight="1">
      <c r="A18" s="597" t="s">
        <v>126</v>
      </c>
      <c r="B18" s="364"/>
      <c r="C18" s="364"/>
      <c r="D18" s="364"/>
      <c r="E18" s="364"/>
      <c r="F18" s="364"/>
      <c r="G18" s="364"/>
      <c r="H18" s="364"/>
      <c r="I18" s="364"/>
      <c r="J18" s="364"/>
      <c r="K18" s="364"/>
      <c r="L18" s="364"/>
      <c r="M18" s="364"/>
      <c r="N18" s="364"/>
      <c r="O18" s="364"/>
      <c r="P18" s="364"/>
      <c r="Q18" s="364">
        <v>8500</v>
      </c>
      <c r="R18" s="364"/>
      <c r="S18" s="364"/>
      <c r="T18" s="364"/>
      <c r="U18" s="364">
        <f t="shared" si="3"/>
        <v>8500</v>
      </c>
      <c r="V18" s="364"/>
      <c r="W18" s="364"/>
      <c r="X18" s="364"/>
      <c r="Y18" s="364"/>
      <c r="Z18" s="364">
        <f t="shared" si="4"/>
        <v>8500</v>
      </c>
      <c r="AA18" s="364"/>
      <c r="AB18" s="364">
        <f t="shared" si="5"/>
        <v>8500</v>
      </c>
      <c r="AC18" s="364"/>
      <c r="AD18" s="364">
        <v>8500</v>
      </c>
      <c r="AE18" s="364"/>
      <c r="AF18" s="364">
        <v>8500</v>
      </c>
      <c r="AG18" s="361">
        <f t="shared" ref="AG18:AG28" si="12">B18+H18+Q18</f>
        <v>8500</v>
      </c>
      <c r="AH18" s="361">
        <f t="shared" ref="AH18:AH28" si="13">C18+I18+R18</f>
        <v>0</v>
      </c>
      <c r="AI18" s="361">
        <f t="shared" ref="AI18:AI28" si="14">D18+L18+U18</f>
        <v>8500</v>
      </c>
      <c r="AJ18" s="361">
        <f t="shared" ref="AJ18:AJ28" si="15">E18+M18+V18</f>
        <v>0</v>
      </c>
      <c r="AK18" s="361">
        <f t="shared" ref="AK18:AK28" si="16">F18+P18+Z18</f>
        <v>8500</v>
      </c>
      <c r="AL18" s="361">
        <f t="shared" ref="AL18:AL28" si="17">J18+S18+AA18</f>
        <v>0</v>
      </c>
      <c r="AM18" s="361">
        <f t="shared" ref="AM18:AM28" si="18">F18+T18+AD18</f>
        <v>8500</v>
      </c>
      <c r="AN18" s="361"/>
      <c r="AO18" s="361">
        <f t="shared" si="11"/>
        <v>8500</v>
      </c>
      <c r="AP18" s="361">
        <f t="shared" si="1"/>
        <v>0</v>
      </c>
      <c r="AQ18" s="361">
        <f t="shared" si="2"/>
        <v>8500</v>
      </c>
    </row>
    <row r="19" spans="1:43" s="216" customFormat="1" ht="18.75" hidden="1" customHeight="1">
      <c r="A19" s="597" t="s">
        <v>681</v>
      </c>
      <c r="B19" s="364"/>
      <c r="C19" s="364"/>
      <c r="D19" s="364"/>
      <c r="E19" s="364"/>
      <c r="F19" s="364"/>
      <c r="G19" s="364"/>
      <c r="H19" s="364"/>
      <c r="I19" s="364"/>
      <c r="J19" s="364"/>
      <c r="K19" s="364"/>
      <c r="L19" s="364"/>
      <c r="M19" s="364"/>
      <c r="N19" s="364"/>
      <c r="O19" s="364"/>
      <c r="P19" s="364"/>
      <c r="Q19" s="364">
        <v>914</v>
      </c>
      <c r="R19" s="364"/>
      <c r="S19" s="364"/>
      <c r="T19" s="364"/>
      <c r="U19" s="364">
        <f t="shared" si="3"/>
        <v>914</v>
      </c>
      <c r="V19" s="364"/>
      <c r="W19" s="364"/>
      <c r="X19" s="364"/>
      <c r="Y19" s="364"/>
      <c r="Z19" s="364">
        <f t="shared" si="4"/>
        <v>914</v>
      </c>
      <c r="AA19" s="364">
        <v>900</v>
      </c>
      <c r="AB19" s="364">
        <v>914</v>
      </c>
      <c r="AC19" s="364"/>
      <c r="AD19" s="364">
        <v>1814</v>
      </c>
      <c r="AE19" s="364"/>
      <c r="AF19" s="364">
        <v>1800</v>
      </c>
      <c r="AG19" s="361">
        <f t="shared" si="12"/>
        <v>914</v>
      </c>
      <c r="AH19" s="361">
        <f t="shared" si="13"/>
        <v>0</v>
      </c>
      <c r="AI19" s="361">
        <f t="shared" si="14"/>
        <v>914</v>
      </c>
      <c r="AJ19" s="361">
        <f t="shared" si="15"/>
        <v>0</v>
      </c>
      <c r="AK19" s="361">
        <f t="shared" si="16"/>
        <v>914</v>
      </c>
      <c r="AL19" s="361">
        <f t="shared" si="17"/>
        <v>900</v>
      </c>
      <c r="AM19" s="361">
        <f t="shared" si="18"/>
        <v>1814</v>
      </c>
      <c r="AN19" s="361"/>
      <c r="AO19" s="361">
        <f t="shared" si="11"/>
        <v>1800</v>
      </c>
      <c r="AP19" s="361">
        <f t="shared" si="1"/>
        <v>0</v>
      </c>
      <c r="AQ19" s="361">
        <f t="shared" si="2"/>
        <v>1800</v>
      </c>
    </row>
    <row r="20" spans="1:43" s="216" customFormat="1" ht="13.5" hidden="1" customHeight="1">
      <c r="A20" s="597" t="s">
        <v>351</v>
      </c>
      <c r="B20" s="364"/>
      <c r="C20" s="364"/>
      <c r="D20" s="364"/>
      <c r="E20" s="364"/>
      <c r="F20" s="364"/>
      <c r="G20" s="364"/>
      <c r="H20" s="364"/>
      <c r="I20" s="364"/>
      <c r="J20" s="364"/>
      <c r="K20" s="364"/>
      <c r="L20" s="364"/>
      <c r="M20" s="364"/>
      <c r="N20" s="364"/>
      <c r="O20" s="364"/>
      <c r="P20" s="364"/>
      <c r="Q20" s="364">
        <v>2616</v>
      </c>
      <c r="R20" s="364"/>
      <c r="S20" s="364"/>
      <c r="T20" s="364"/>
      <c r="U20" s="364">
        <f t="shared" si="3"/>
        <v>2616</v>
      </c>
      <c r="V20" s="364"/>
      <c r="W20" s="364"/>
      <c r="X20" s="364"/>
      <c r="Y20" s="364"/>
      <c r="Z20" s="364">
        <f t="shared" si="4"/>
        <v>2616</v>
      </c>
      <c r="AA20" s="364"/>
      <c r="AB20" s="364">
        <f t="shared" si="5"/>
        <v>2616</v>
      </c>
      <c r="AC20" s="364"/>
      <c r="AD20" s="364">
        <v>2616</v>
      </c>
      <c r="AE20" s="364"/>
      <c r="AF20" s="364">
        <v>3009</v>
      </c>
      <c r="AG20" s="361">
        <f t="shared" si="12"/>
        <v>2616</v>
      </c>
      <c r="AH20" s="361">
        <f t="shared" si="13"/>
        <v>0</v>
      </c>
      <c r="AI20" s="361">
        <f t="shared" si="14"/>
        <v>2616</v>
      </c>
      <c r="AJ20" s="361">
        <f t="shared" si="15"/>
        <v>0</v>
      </c>
      <c r="AK20" s="361">
        <f t="shared" si="16"/>
        <v>2616</v>
      </c>
      <c r="AL20" s="361">
        <f t="shared" si="17"/>
        <v>0</v>
      </c>
      <c r="AM20" s="361">
        <f t="shared" si="18"/>
        <v>2616</v>
      </c>
      <c r="AN20" s="361"/>
      <c r="AO20" s="361">
        <f t="shared" si="11"/>
        <v>3009</v>
      </c>
      <c r="AP20" s="361">
        <f t="shared" si="1"/>
        <v>0</v>
      </c>
      <c r="AQ20" s="361">
        <f t="shared" si="2"/>
        <v>3009</v>
      </c>
    </row>
    <row r="21" spans="1:43" s="216" customFormat="1" ht="17.25" hidden="1" customHeight="1">
      <c r="A21" s="597" t="s">
        <v>790</v>
      </c>
      <c r="B21" s="364"/>
      <c r="C21" s="364"/>
      <c r="D21" s="364"/>
      <c r="E21" s="364"/>
      <c r="F21" s="364"/>
      <c r="G21" s="364"/>
      <c r="H21" s="364"/>
      <c r="I21" s="364"/>
      <c r="J21" s="364"/>
      <c r="K21" s="364"/>
      <c r="L21" s="364"/>
      <c r="M21" s="364"/>
      <c r="N21" s="364"/>
      <c r="O21" s="364"/>
      <c r="P21" s="364"/>
      <c r="Q21" s="364">
        <v>2200</v>
      </c>
      <c r="R21" s="364"/>
      <c r="S21" s="364"/>
      <c r="T21" s="364"/>
      <c r="U21" s="364">
        <f t="shared" si="3"/>
        <v>2200</v>
      </c>
      <c r="V21" s="364"/>
      <c r="W21" s="364"/>
      <c r="X21" s="364"/>
      <c r="Y21" s="364"/>
      <c r="Z21" s="364">
        <f t="shared" si="4"/>
        <v>2200</v>
      </c>
      <c r="AA21" s="364">
        <v>2200</v>
      </c>
      <c r="AB21" s="364">
        <v>2200</v>
      </c>
      <c r="AC21" s="364"/>
      <c r="AD21" s="364">
        <v>4400</v>
      </c>
      <c r="AE21" s="364"/>
      <c r="AF21" s="364">
        <v>4920</v>
      </c>
      <c r="AG21" s="361">
        <f t="shared" si="12"/>
        <v>2200</v>
      </c>
      <c r="AH21" s="361">
        <f t="shared" si="13"/>
        <v>0</v>
      </c>
      <c r="AI21" s="361">
        <f t="shared" si="14"/>
        <v>2200</v>
      </c>
      <c r="AJ21" s="361">
        <f t="shared" si="15"/>
        <v>0</v>
      </c>
      <c r="AK21" s="361">
        <f t="shared" si="16"/>
        <v>2200</v>
      </c>
      <c r="AL21" s="361">
        <f t="shared" si="17"/>
        <v>2200</v>
      </c>
      <c r="AM21" s="361">
        <f t="shared" si="18"/>
        <v>4400</v>
      </c>
      <c r="AN21" s="361"/>
      <c r="AO21" s="361">
        <f t="shared" si="11"/>
        <v>4920</v>
      </c>
      <c r="AP21" s="361">
        <f t="shared" si="1"/>
        <v>0</v>
      </c>
      <c r="AQ21" s="361">
        <f t="shared" si="2"/>
        <v>4920</v>
      </c>
    </row>
    <row r="22" spans="1:43" s="216" customFormat="1" ht="45" hidden="1">
      <c r="A22" s="597" t="s">
        <v>655</v>
      </c>
      <c r="B22" s="364">
        <f>(1266+400)-206</f>
        <v>1460</v>
      </c>
      <c r="C22" s="364"/>
      <c r="D22" s="364">
        <f>SUM(B22:C22)</f>
        <v>1460</v>
      </c>
      <c r="E22" s="364"/>
      <c r="F22" s="364">
        <v>1060</v>
      </c>
      <c r="G22" s="364">
        <v>1152</v>
      </c>
      <c r="H22" s="364">
        <v>206</v>
      </c>
      <c r="I22" s="364"/>
      <c r="J22" s="364"/>
      <c r="K22" s="364">
        <v>1060</v>
      </c>
      <c r="L22" s="364">
        <f>SUM(H22:I22)</f>
        <v>206</v>
      </c>
      <c r="M22" s="364"/>
      <c r="N22" s="364"/>
      <c r="O22" s="364">
        <f>K22+N22</f>
        <v>1060</v>
      </c>
      <c r="P22" s="364">
        <f>SUM(L22:M22)</f>
        <v>206</v>
      </c>
      <c r="Q22" s="364"/>
      <c r="R22" s="364"/>
      <c r="S22" s="364"/>
      <c r="T22" s="364">
        <f>P22+S22</f>
        <v>206</v>
      </c>
      <c r="U22" s="364">
        <f t="shared" si="3"/>
        <v>0</v>
      </c>
      <c r="V22" s="364"/>
      <c r="W22" s="364"/>
      <c r="X22" s="364">
        <v>202</v>
      </c>
      <c r="Y22" s="364">
        <f>T22+X22</f>
        <v>408</v>
      </c>
      <c r="Z22" s="364">
        <f t="shared" si="4"/>
        <v>0</v>
      </c>
      <c r="AA22" s="364"/>
      <c r="AB22" s="364">
        <f t="shared" si="5"/>
        <v>0</v>
      </c>
      <c r="AC22" s="364"/>
      <c r="AD22" s="364">
        <v>0</v>
      </c>
      <c r="AE22" s="364"/>
      <c r="AF22" s="364"/>
      <c r="AG22" s="361">
        <f t="shared" si="12"/>
        <v>1666</v>
      </c>
      <c r="AH22" s="361">
        <f t="shared" si="13"/>
        <v>0</v>
      </c>
      <c r="AI22" s="361">
        <f t="shared" si="14"/>
        <v>1666</v>
      </c>
      <c r="AJ22" s="361">
        <f t="shared" si="15"/>
        <v>0</v>
      </c>
      <c r="AK22" s="361">
        <f t="shared" si="16"/>
        <v>1266</v>
      </c>
      <c r="AL22" s="361">
        <f t="shared" si="17"/>
        <v>0</v>
      </c>
      <c r="AM22" s="361">
        <f t="shared" si="18"/>
        <v>1266</v>
      </c>
      <c r="AN22" s="361"/>
      <c r="AO22" s="361">
        <f t="shared" si="11"/>
        <v>1354</v>
      </c>
      <c r="AP22" s="361">
        <f t="shared" si="1"/>
        <v>0</v>
      </c>
      <c r="AQ22" s="361">
        <f t="shared" si="2"/>
        <v>1354</v>
      </c>
    </row>
    <row r="23" spans="1:43" s="216" customFormat="1" ht="30" hidden="1">
      <c r="A23" s="597" t="s">
        <v>127</v>
      </c>
      <c r="B23" s="364"/>
      <c r="C23" s="364"/>
      <c r="D23" s="364"/>
      <c r="E23" s="364"/>
      <c r="F23" s="364"/>
      <c r="G23" s="364"/>
      <c r="H23" s="364"/>
      <c r="I23" s="364"/>
      <c r="J23" s="364"/>
      <c r="K23" s="364"/>
      <c r="L23" s="364"/>
      <c r="M23" s="364"/>
      <c r="N23" s="364"/>
      <c r="O23" s="364"/>
      <c r="P23" s="364"/>
      <c r="Q23" s="364">
        <v>5250</v>
      </c>
      <c r="R23" s="364"/>
      <c r="S23" s="364"/>
      <c r="T23" s="364"/>
      <c r="U23" s="364">
        <f t="shared" si="3"/>
        <v>5250</v>
      </c>
      <c r="V23" s="364"/>
      <c r="W23" s="364"/>
      <c r="X23" s="364"/>
      <c r="Y23" s="364"/>
      <c r="Z23" s="364">
        <f t="shared" si="4"/>
        <v>5250</v>
      </c>
      <c r="AA23" s="364"/>
      <c r="AB23" s="364">
        <f t="shared" si="5"/>
        <v>5250</v>
      </c>
      <c r="AC23" s="364"/>
      <c r="AD23" s="364">
        <v>5250</v>
      </c>
      <c r="AE23" s="364"/>
      <c r="AF23" s="364">
        <v>5250</v>
      </c>
      <c r="AG23" s="361">
        <f t="shared" si="12"/>
        <v>5250</v>
      </c>
      <c r="AH23" s="361">
        <f t="shared" si="13"/>
        <v>0</v>
      </c>
      <c r="AI23" s="361">
        <f t="shared" si="14"/>
        <v>5250</v>
      </c>
      <c r="AJ23" s="361">
        <f t="shared" si="15"/>
        <v>0</v>
      </c>
      <c r="AK23" s="361">
        <f t="shared" si="16"/>
        <v>5250</v>
      </c>
      <c r="AL23" s="361">
        <f t="shared" si="17"/>
        <v>0</v>
      </c>
      <c r="AM23" s="361">
        <f t="shared" si="18"/>
        <v>5250</v>
      </c>
      <c r="AN23" s="361"/>
      <c r="AO23" s="361">
        <f t="shared" si="11"/>
        <v>5250</v>
      </c>
      <c r="AP23" s="361">
        <f t="shared" si="1"/>
        <v>0</v>
      </c>
      <c r="AQ23" s="361">
        <f t="shared" si="2"/>
        <v>5250</v>
      </c>
    </row>
    <row r="24" spans="1:43" s="216" customFormat="1" ht="45" hidden="1">
      <c r="A24" s="598" t="s">
        <v>128</v>
      </c>
      <c r="B24" s="364"/>
      <c r="C24" s="364"/>
      <c r="D24" s="364"/>
      <c r="E24" s="364"/>
      <c r="F24" s="364"/>
      <c r="G24" s="364"/>
      <c r="H24" s="364"/>
      <c r="I24" s="364"/>
      <c r="J24" s="364"/>
      <c r="K24" s="364"/>
      <c r="L24" s="364"/>
      <c r="M24" s="364"/>
      <c r="N24" s="364"/>
      <c r="O24" s="364"/>
      <c r="P24" s="364"/>
      <c r="Q24" s="364">
        <v>1496</v>
      </c>
      <c r="R24" s="364"/>
      <c r="S24" s="364"/>
      <c r="T24" s="364"/>
      <c r="U24" s="364">
        <f t="shared" si="3"/>
        <v>1496</v>
      </c>
      <c r="V24" s="364"/>
      <c r="W24" s="364"/>
      <c r="X24" s="364"/>
      <c r="Y24" s="364"/>
      <c r="Z24" s="364">
        <f t="shared" si="4"/>
        <v>1496</v>
      </c>
      <c r="AA24" s="364"/>
      <c r="AB24" s="364">
        <f t="shared" si="5"/>
        <v>1496</v>
      </c>
      <c r="AC24" s="364"/>
      <c r="AD24" s="364">
        <v>1496</v>
      </c>
      <c r="AE24" s="364"/>
      <c r="AF24" s="364">
        <v>1496</v>
      </c>
      <c r="AG24" s="361">
        <f t="shared" si="12"/>
        <v>1496</v>
      </c>
      <c r="AH24" s="361">
        <f t="shared" si="13"/>
        <v>0</v>
      </c>
      <c r="AI24" s="361">
        <f t="shared" si="14"/>
        <v>1496</v>
      </c>
      <c r="AJ24" s="361">
        <f t="shared" si="15"/>
        <v>0</v>
      </c>
      <c r="AK24" s="361">
        <f t="shared" si="16"/>
        <v>1496</v>
      </c>
      <c r="AL24" s="361">
        <f t="shared" si="17"/>
        <v>0</v>
      </c>
      <c r="AM24" s="361">
        <f t="shared" si="18"/>
        <v>1496</v>
      </c>
      <c r="AN24" s="361"/>
      <c r="AO24" s="361">
        <f t="shared" si="11"/>
        <v>1496</v>
      </c>
      <c r="AP24" s="361">
        <f t="shared" si="1"/>
        <v>0</v>
      </c>
      <c r="AQ24" s="361">
        <f t="shared" si="2"/>
        <v>1496</v>
      </c>
    </row>
    <row r="25" spans="1:43" s="216" customFormat="1" ht="30" hidden="1">
      <c r="A25" s="598" t="s">
        <v>427</v>
      </c>
      <c r="B25" s="364"/>
      <c r="C25" s="364"/>
      <c r="D25" s="364"/>
      <c r="E25" s="364"/>
      <c r="F25" s="364"/>
      <c r="G25" s="364"/>
      <c r="H25" s="364"/>
      <c r="I25" s="364"/>
      <c r="J25" s="364"/>
      <c r="K25" s="364"/>
      <c r="L25" s="364"/>
      <c r="M25" s="364"/>
      <c r="N25" s="364"/>
      <c r="O25" s="364"/>
      <c r="P25" s="364"/>
      <c r="Q25" s="364">
        <v>1924</v>
      </c>
      <c r="R25" s="364"/>
      <c r="S25" s="364"/>
      <c r="T25" s="364"/>
      <c r="U25" s="364">
        <f t="shared" si="3"/>
        <v>1924</v>
      </c>
      <c r="V25" s="364"/>
      <c r="W25" s="364"/>
      <c r="X25" s="364"/>
      <c r="Y25" s="364"/>
      <c r="Z25" s="364">
        <f t="shared" si="4"/>
        <v>1924</v>
      </c>
      <c r="AA25" s="364"/>
      <c r="AB25" s="364">
        <f t="shared" si="5"/>
        <v>1924</v>
      </c>
      <c r="AC25" s="364"/>
      <c r="AD25" s="364">
        <v>1924</v>
      </c>
      <c r="AE25" s="364"/>
      <c r="AF25" s="364">
        <v>1924</v>
      </c>
      <c r="AG25" s="361">
        <f t="shared" si="12"/>
        <v>1924</v>
      </c>
      <c r="AH25" s="361">
        <f t="shared" si="13"/>
        <v>0</v>
      </c>
      <c r="AI25" s="361">
        <f t="shared" si="14"/>
        <v>1924</v>
      </c>
      <c r="AJ25" s="361">
        <f t="shared" si="15"/>
        <v>0</v>
      </c>
      <c r="AK25" s="361">
        <f t="shared" si="16"/>
        <v>1924</v>
      </c>
      <c r="AL25" s="361">
        <f t="shared" si="17"/>
        <v>0</v>
      </c>
      <c r="AM25" s="361">
        <f t="shared" si="18"/>
        <v>1924</v>
      </c>
      <c r="AN25" s="361"/>
      <c r="AO25" s="361">
        <f t="shared" si="11"/>
        <v>1924</v>
      </c>
      <c r="AP25" s="361">
        <f t="shared" si="1"/>
        <v>0</v>
      </c>
      <c r="AQ25" s="361">
        <f t="shared" si="2"/>
        <v>1924</v>
      </c>
    </row>
    <row r="26" spans="1:43" s="216" customFormat="1" ht="30" hidden="1">
      <c r="A26" s="598" t="s">
        <v>1031</v>
      </c>
      <c r="B26" s="364"/>
      <c r="C26" s="364"/>
      <c r="D26" s="364"/>
      <c r="E26" s="364"/>
      <c r="F26" s="364"/>
      <c r="G26" s="364"/>
      <c r="H26" s="364"/>
      <c r="I26" s="364"/>
      <c r="J26" s="364"/>
      <c r="K26" s="364"/>
      <c r="L26" s="364"/>
      <c r="M26" s="364"/>
      <c r="N26" s="364"/>
      <c r="O26" s="364"/>
      <c r="P26" s="364"/>
      <c r="Q26" s="364">
        <v>4500</v>
      </c>
      <c r="R26" s="364">
        <v>2160</v>
      </c>
      <c r="S26" s="364"/>
      <c r="T26" s="364"/>
      <c r="U26" s="364">
        <f t="shared" si="3"/>
        <v>6660</v>
      </c>
      <c r="V26" s="364"/>
      <c r="W26" s="364"/>
      <c r="X26" s="364"/>
      <c r="Y26" s="364"/>
      <c r="Z26" s="364">
        <f t="shared" si="4"/>
        <v>6660</v>
      </c>
      <c r="AA26" s="364"/>
      <c r="AB26" s="364">
        <v>4500</v>
      </c>
      <c r="AC26" s="364"/>
      <c r="AD26" s="364">
        <v>6660</v>
      </c>
      <c r="AE26" s="364"/>
      <c r="AF26" s="364">
        <v>6660</v>
      </c>
      <c r="AG26" s="361">
        <f t="shared" si="12"/>
        <v>4500</v>
      </c>
      <c r="AH26" s="361">
        <f t="shared" si="13"/>
        <v>2160</v>
      </c>
      <c r="AI26" s="361">
        <f t="shared" si="14"/>
        <v>6660</v>
      </c>
      <c r="AJ26" s="361">
        <f t="shared" si="15"/>
        <v>0</v>
      </c>
      <c r="AK26" s="361">
        <f t="shared" si="16"/>
        <v>6660</v>
      </c>
      <c r="AL26" s="361">
        <f t="shared" si="17"/>
        <v>0</v>
      </c>
      <c r="AM26" s="361">
        <f t="shared" si="18"/>
        <v>6660</v>
      </c>
      <c r="AN26" s="361"/>
      <c r="AO26" s="361">
        <f t="shared" si="11"/>
        <v>6660</v>
      </c>
      <c r="AP26" s="361">
        <f t="shared" si="1"/>
        <v>0</v>
      </c>
      <c r="AQ26" s="361">
        <f t="shared" si="2"/>
        <v>6660</v>
      </c>
    </row>
    <row r="27" spans="1:43" s="216" customFormat="1" ht="15" hidden="1">
      <c r="A27" s="598" t="s">
        <v>374</v>
      </c>
      <c r="B27" s="364"/>
      <c r="C27" s="364"/>
      <c r="D27" s="364"/>
      <c r="E27" s="364"/>
      <c r="F27" s="364"/>
      <c r="G27" s="364"/>
      <c r="H27" s="364"/>
      <c r="I27" s="364"/>
      <c r="J27" s="364"/>
      <c r="K27" s="364"/>
      <c r="L27" s="364"/>
      <c r="M27" s="364"/>
      <c r="N27" s="364"/>
      <c r="O27" s="364"/>
      <c r="P27" s="364"/>
      <c r="Q27" s="364">
        <v>245</v>
      </c>
      <c r="R27" s="364"/>
      <c r="S27" s="364"/>
      <c r="T27" s="364"/>
      <c r="U27" s="364">
        <f t="shared" si="3"/>
        <v>245</v>
      </c>
      <c r="V27" s="364"/>
      <c r="W27" s="364"/>
      <c r="X27" s="364"/>
      <c r="Y27" s="364"/>
      <c r="Z27" s="364">
        <f t="shared" si="4"/>
        <v>245</v>
      </c>
      <c r="AA27" s="364"/>
      <c r="AB27" s="364">
        <f t="shared" si="5"/>
        <v>245</v>
      </c>
      <c r="AC27" s="364"/>
      <c r="AD27" s="364">
        <v>245</v>
      </c>
      <c r="AE27" s="364"/>
      <c r="AF27" s="364">
        <v>245</v>
      </c>
      <c r="AG27" s="361">
        <f t="shared" si="12"/>
        <v>245</v>
      </c>
      <c r="AH27" s="361">
        <f t="shared" si="13"/>
        <v>0</v>
      </c>
      <c r="AI27" s="361">
        <f t="shared" si="14"/>
        <v>245</v>
      </c>
      <c r="AJ27" s="361">
        <f t="shared" si="15"/>
        <v>0</v>
      </c>
      <c r="AK27" s="361">
        <f t="shared" si="16"/>
        <v>245</v>
      </c>
      <c r="AL27" s="361">
        <f t="shared" si="17"/>
        <v>0</v>
      </c>
      <c r="AM27" s="361">
        <f t="shared" si="18"/>
        <v>245</v>
      </c>
      <c r="AN27" s="361"/>
      <c r="AO27" s="361">
        <f t="shared" si="11"/>
        <v>245</v>
      </c>
      <c r="AP27" s="361">
        <f t="shared" si="1"/>
        <v>0</v>
      </c>
      <c r="AQ27" s="361">
        <f t="shared" si="2"/>
        <v>245</v>
      </c>
    </row>
    <row r="28" spans="1:43" s="216" customFormat="1" ht="15" hidden="1">
      <c r="A28" s="597" t="s">
        <v>1034</v>
      </c>
      <c r="B28" s="364"/>
      <c r="C28" s="364"/>
      <c r="D28" s="364"/>
      <c r="E28" s="364"/>
      <c r="F28" s="364"/>
      <c r="G28" s="364"/>
      <c r="H28" s="364"/>
      <c r="I28" s="364"/>
      <c r="J28" s="364"/>
      <c r="K28" s="364"/>
      <c r="L28" s="364"/>
      <c r="M28" s="364"/>
      <c r="N28" s="364"/>
      <c r="O28" s="364"/>
      <c r="P28" s="364"/>
      <c r="Q28" s="364">
        <v>2540</v>
      </c>
      <c r="R28" s="364"/>
      <c r="S28" s="364"/>
      <c r="T28" s="364"/>
      <c r="U28" s="364">
        <f t="shared" si="3"/>
        <v>2540</v>
      </c>
      <c r="V28" s="364"/>
      <c r="W28" s="364"/>
      <c r="X28" s="364"/>
      <c r="Y28" s="364"/>
      <c r="Z28" s="364">
        <f t="shared" si="4"/>
        <v>2540</v>
      </c>
      <c r="AA28" s="364"/>
      <c r="AB28" s="364">
        <f t="shared" si="5"/>
        <v>2540</v>
      </c>
      <c r="AC28" s="364"/>
      <c r="AD28" s="364">
        <f t="shared" ref="AD28" si="19">AB28+AC28</f>
        <v>2540</v>
      </c>
      <c r="AE28" s="364"/>
      <c r="AF28" s="364">
        <v>1270</v>
      </c>
      <c r="AG28" s="361">
        <f t="shared" si="12"/>
        <v>2540</v>
      </c>
      <c r="AH28" s="361">
        <f t="shared" si="13"/>
        <v>0</v>
      </c>
      <c r="AI28" s="361">
        <f t="shared" si="14"/>
        <v>2540</v>
      </c>
      <c r="AJ28" s="361">
        <f t="shared" si="15"/>
        <v>0</v>
      </c>
      <c r="AK28" s="361">
        <f t="shared" si="16"/>
        <v>2540</v>
      </c>
      <c r="AL28" s="361">
        <f t="shared" si="17"/>
        <v>0</v>
      </c>
      <c r="AM28" s="361">
        <f t="shared" si="18"/>
        <v>2540</v>
      </c>
      <c r="AN28" s="361"/>
      <c r="AO28" s="361">
        <f t="shared" si="11"/>
        <v>1270</v>
      </c>
      <c r="AP28" s="361">
        <f t="shared" si="1"/>
        <v>0</v>
      </c>
      <c r="AQ28" s="361">
        <f t="shared" si="2"/>
        <v>1270</v>
      </c>
    </row>
    <row r="29" spans="1:43" s="215" customFormat="1" ht="32.25" customHeight="1">
      <c r="A29" s="596" t="s">
        <v>358</v>
      </c>
      <c r="B29" s="356" t="e">
        <f>B30+B31+B32+B33+#REF!</f>
        <v>#REF!</v>
      </c>
      <c r="C29" s="356" t="e">
        <f>C30+C31+C32+C33+#REF!</f>
        <v>#REF!</v>
      </c>
      <c r="D29" s="356" t="e">
        <f>D30+D31+D32+D33+#REF!</f>
        <v>#REF!</v>
      </c>
      <c r="E29" s="356" t="e">
        <f>E30+E31+E32+E33+#REF!</f>
        <v>#REF!</v>
      </c>
      <c r="F29" s="356" t="e">
        <f>F30+F31+F32+F33+#REF!</f>
        <v>#REF!</v>
      </c>
      <c r="G29" s="356">
        <f>G30+G31+G32+G33</f>
        <v>156993</v>
      </c>
      <c r="H29" s="356" t="e">
        <f t="shared" ref="H29:AQ29" si="20">H30+H31+H32+H33</f>
        <v>#REF!</v>
      </c>
      <c r="I29" s="356" t="e">
        <f t="shared" si="20"/>
        <v>#REF!</v>
      </c>
      <c r="J29" s="356">
        <f t="shared" si="20"/>
        <v>0</v>
      </c>
      <c r="K29" s="356">
        <f t="shared" si="20"/>
        <v>192870</v>
      </c>
      <c r="L29" s="356" t="e">
        <f t="shared" si="20"/>
        <v>#REF!</v>
      </c>
      <c r="M29" s="356">
        <f t="shared" si="20"/>
        <v>0</v>
      </c>
      <c r="N29" s="356">
        <f t="shared" si="20"/>
        <v>0</v>
      </c>
      <c r="O29" s="356">
        <f t="shared" si="20"/>
        <v>192870</v>
      </c>
      <c r="P29" s="356" t="e">
        <f t="shared" si="20"/>
        <v>#REF!</v>
      </c>
      <c r="Q29" s="356" t="e">
        <f t="shared" si="20"/>
        <v>#REF!</v>
      </c>
      <c r="R29" s="356" t="e">
        <f t="shared" si="20"/>
        <v>#REF!</v>
      </c>
      <c r="S29" s="356">
        <f t="shared" si="20"/>
        <v>0</v>
      </c>
      <c r="T29" s="356" t="e">
        <f t="shared" si="20"/>
        <v>#REF!</v>
      </c>
      <c r="U29" s="356" t="e">
        <f t="shared" si="20"/>
        <v>#REF!</v>
      </c>
      <c r="V29" s="356">
        <f t="shared" si="20"/>
        <v>0</v>
      </c>
      <c r="W29" s="356">
        <f t="shared" si="20"/>
        <v>0</v>
      </c>
      <c r="X29" s="356">
        <f t="shared" si="20"/>
        <v>13737</v>
      </c>
      <c r="Y29" s="356" t="e">
        <f t="shared" si="20"/>
        <v>#REF!</v>
      </c>
      <c r="Z29" s="356" t="e">
        <f t="shared" si="20"/>
        <v>#REF!</v>
      </c>
      <c r="AA29" s="356">
        <f t="shared" si="20"/>
        <v>0</v>
      </c>
      <c r="AB29" s="356" t="e">
        <f t="shared" si="20"/>
        <v>#REF!</v>
      </c>
      <c r="AC29" s="356">
        <f t="shared" si="20"/>
        <v>0</v>
      </c>
      <c r="AD29" s="356">
        <f t="shared" si="20"/>
        <v>17114</v>
      </c>
      <c r="AE29" s="356">
        <f t="shared" si="20"/>
        <v>0</v>
      </c>
      <c r="AF29" s="356">
        <f t="shared" si="20"/>
        <v>18030</v>
      </c>
      <c r="AG29" s="356" t="e">
        <f t="shared" si="20"/>
        <v>#REF!</v>
      </c>
      <c r="AH29" s="356" t="e">
        <f t="shared" si="20"/>
        <v>#REF!</v>
      </c>
      <c r="AI29" s="356" t="e">
        <f t="shared" si="20"/>
        <v>#REF!</v>
      </c>
      <c r="AJ29" s="356">
        <f t="shared" si="20"/>
        <v>0</v>
      </c>
      <c r="AK29" s="356" t="e">
        <f t="shared" si="20"/>
        <v>#REF!</v>
      </c>
      <c r="AL29" s="356">
        <f t="shared" si="20"/>
        <v>0</v>
      </c>
      <c r="AM29" s="356" t="e">
        <f t="shared" si="20"/>
        <v>#REF!</v>
      </c>
      <c r="AN29" s="356">
        <f t="shared" si="20"/>
        <v>0</v>
      </c>
      <c r="AO29" s="356">
        <f t="shared" si="20"/>
        <v>188760</v>
      </c>
      <c r="AP29" s="356">
        <f t="shared" si="20"/>
        <v>0</v>
      </c>
      <c r="AQ29" s="356">
        <f t="shared" si="20"/>
        <v>188760</v>
      </c>
    </row>
    <row r="30" spans="1:43" s="216" customFormat="1" ht="15" hidden="1" customHeight="1">
      <c r="A30" s="597" t="s">
        <v>129</v>
      </c>
      <c r="B30" s="364" t="e">
        <f>#REF!</f>
        <v>#REF!</v>
      </c>
      <c r="C30" s="364" t="e">
        <f>#REF!</f>
        <v>#REF!</v>
      </c>
      <c r="D30" s="364" t="e">
        <f>#REF!</f>
        <v>#REF!</v>
      </c>
      <c r="E30" s="364"/>
      <c r="F30" s="364">
        <v>60157</v>
      </c>
      <c r="G30" s="364">
        <f>'Szoc.rász.'!D24</f>
        <v>57506</v>
      </c>
      <c r="H30" s="364" t="e">
        <f>#REF!</f>
        <v>#REF!</v>
      </c>
      <c r="I30" s="364" t="e">
        <f>#REF!</f>
        <v>#REF!</v>
      </c>
      <c r="J30" s="364"/>
      <c r="K30" s="364">
        <f>F30+J30</f>
        <v>60157</v>
      </c>
      <c r="L30" s="364" t="e">
        <f>#REF!</f>
        <v>#REF!</v>
      </c>
      <c r="M30" s="364"/>
      <c r="N30" s="364"/>
      <c r="O30" s="364">
        <f>K30+N30</f>
        <v>60157</v>
      </c>
      <c r="P30" s="364" t="e">
        <f>SUM(L30:M30)</f>
        <v>#REF!</v>
      </c>
      <c r="Q30" s="364" t="e">
        <f>#REF!</f>
        <v>#REF!</v>
      </c>
      <c r="R30" s="364" t="e">
        <f>#REF!</f>
        <v>#REF!</v>
      </c>
      <c r="S30" s="364"/>
      <c r="T30" s="364" t="e">
        <f>P30+S30</f>
        <v>#REF!</v>
      </c>
      <c r="U30" s="364" t="e">
        <f>#REF!</f>
        <v>#REF!</v>
      </c>
      <c r="V30" s="364"/>
      <c r="W30" s="364"/>
      <c r="X30" s="364">
        <f>'Szoc.rász.'!F24</f>
        <v>5032</v>
      </c>
      <c r="Y30" s="364" t="e">
        <f>T30+X30</f>
        <v>#REF!</v>
      </c>
      <c r="Z30" s="364" t="e">
        <f>SUM(U30:V30)</f>
        <v>#REF!</v>
      </c>
      <c r="AA30" s="364"/>
      <c r="AB30" s="364" t="e">
        <f>Z30+AA30</f>
        <v>#REF!</v>
      </c>
      <c r="AC30" s="364"/>
      <c r="AD30" s="364">
        <v>9731</v>
      </c>
      <c r="AE30" s="364"/>
      <c r="AF30" s="364">
        <f>'Szoc.rász.'!L24</f>
        <v>11470</v>
      </c>
      <c r="AG30" s="361" t="e">
        <f t="shared" ref="AG30:AH33" si="21">B30+H30+Q30</f>
        <v>#REF!</v>
      </c>
      <c r="AH30" s="361" t="e">
        <f t="shared" si="21"/>
        <v>#REF!</v>
      </c>
      <c r="AI30" s="361" t="e">
        <f t="shared" ref="AI30:AJ33" si="22">D30+L30+U30</f>
        <v>#REF!</v>
      </c>
      <c r="AJ30" s="361">
        <f t="shared" si="22"/>
        <v>0</v>
      </c>
      <c r="AK30" s="361" t="e">
        <f>F30+P30+Z30</f>
        <v>#REF!</v>
      </c>
      <c r="AL30" s="361">
        <f>J30+S30+AA30</f>
        <v>0</v>
      </c>
      <c r="AM30" s="361" t="e">
        <f>F30+T30+AD30</f>
        <v>#REF!</v>
      </c>
      <c r="AN30" s="361"/>
      <c r="AO30" s="361">
        <f>G30+X30+AF30</f>
        <v>74008</v>
      </c>
      <c r="AP30" s="361">
        <f t="shared" si="1"/>
        <v>0</v>
      </c>
      <c r="AQ30" s="361">
        <f>SUM(AO30:AP30)</f>
        <v>74008</v>
      </c>
    </row>
    <row r="31" spans="1:43" s="216" customFormat="1" ht="15" hidden="1" customHeight="1">
      <c r="A31" s="597" t="s">
        <v>130</v>
      </c>
      <c r="B31" s="364" t="e">
        <f>#REF!</f>
        <v>#REF!</v>
      </c>
      <c r="C31" s="364" t="e">
        <f>#REF!</f>
        <v>#REF!</v>
      </c>
      <c r="D31" s="364" t="e">
        <f>#REF!</f>
        <v>#REF!</v>
      </c>
      <c r="E31" s="364"/>
      <c r="F31" s="364">
        <v>113000</v>
      </c>
      <c r="G31" s="364">
        <f>'Szoc.rász.'!D23</f>
        <v>80000</v>
      </c>
      <c r="H31" s="364" t="e">
        <f>#REF!</f>
        <v>#REF!</v>
      </c>
      <c r="I31" s="364" t="e">
        <f>#REF!</f>
        <v>#REF!</v>
      </c>
      <c r="J31" s="364"/>
      <c r="K31" s="364">
        <f t="shared" ref="K31:K33" si="23">F31+J31</f>
        <v>113000</v>
      </c>
      <c r="L31" s="364" t="e">
        <f>#REF!</f>
        <v>#REF!</v>
      </c>
      <c r="M31" s="364"/>
      <c r="N31" s="364"/>
      <c r="O31" s="364">
        <f t="shared" ref="O31:O33" si="24">K31+N31</f>
        <v>113000</v>
      </c>
      <c r="P31" s="364" t="e">
        <f t="shared" ref="P31:P33" si="25">SUM(L31:M31)</f>
        <v>#REF!</v>
      </c>
      <c r="Q31" s="364" t="e">
        <f>#REF!</f>
        <v>#REF!</v>
      </c>
      <c r="R31" s="364" t="e">
        <f>#REF!</f>
        <v>#REF!</v>
      </c>
      <c r="S31" s="364"/>
      <c r="T31" s="364" t="e">
        <f t="shared" ref="T31:T33" si="26">P31+S31</f>
        <v>#REF!</v>
      </c>
      <c r="U31" s="364" t="e">
        <f>#REF!</f>
        <v>#REF!</v>
      </c>
      <c r="V31" s="364"/>
      <c r="W31" s="364"/>
      <c r="X31" s="364">
        <f>'Szoc.rász.'!F23</f>
        <v>7000</v>
      </c>
      <c r="Y31" s="364" t="e">
        <f t="shared" ref="Y31:Y33" si="27">T31+X31</f>
        <v>#REF!</v>
      </c>
      <c r="Z31" s="364" t="e">
        <f t="shared" ref="Z31:Z32" si="28">SUM(U31:V31)</f>
        <v>#REF!</v>
      </c>
      <c r="AA31" s="364"/>
      <c r="AB31" s="364" t="e">
        <f t="shared" ref="AB31:AB32" si="29">Z31+AA31</f>
        <v>#REF!</v>
      </c>
      <c r="AC31" s="364"/>
      <c r="AD31" s="364">
        <v>5000</v>
      </c>
      <c r="AE31" s="364"/>
      <c r="AF31" s="364">
        <f>'Szoc.rász.'!L23</f>
        <v>3040</v>
      </c>
      <c r="AG31" s="361" t="e">
        <f t="shared" si="21"/>
        <v>#REF!</v>
      </c>
      <c r="AH31" s="361" t="e">
        <f t="shared" si="21"/>
        <v>#REF!</v>
      </c>
      <c r="AI31" s="361" t="e">
        <f t="shared" si="22"/>
        <v>#REF!</v>
      </c>
      <c r="AJ31" s="361">
        <f t="shared" si="22"/>
        <v>0</v>
      </c>
      <c r="AK31" s="361" t="e">
        <f>F31+P31+Z31</f>
        <v>#REF!</v>
      </c>
      <c r="AL31" s="361">
        <f>J31+S31+AA31</f>
        <v>0</v>
      </c>
      <c r="AM31" s="361" t="e">
        <f>F31+T31+AD31</f>
        <v>#REF!</v>
      </c>
      <c r="AN31" s="361"/>
      <c r="AO31" s="361">
        <f>G31+X31+AF31</f>
        <v>90040</v>
      </c>
      <c r="AP31" s="361">
        <f t="shared" ref="AP31:AP33" si="30">W31+AE31+AN31</f>
        <v>0</v>
      </c>
      <c r="AQ31" s="361">
        <f t="shared" ref="AQ31:AQ33" si="31">SUM(AO31:AP31)</f>
        <v>90040</v>
      </c>
    </row>
    <row r="32" spans="1:43" s="216" customFormat="1" ht="15" hidden="1" customHeight="1">
      <c r="A32" s="597" t="s">
        <v>131</v>
      </c>
      <c r="B32" s="364" t="e">
        <f>#REF!</f>
        <v>#REF!</v>
      </c>
      <c r="C32" s="364" t="e">
        <f>#REF!</f>
        <v>#REF!</v>
      </c>
      <c r="D32" s="364" t="e">
        <f>#REF!</f>
        <v>#REF!</v>
      </c>
      <c r="E32" s="364"/>
      <c r="F32" s="364">
        <v>12041</v>
      </c>
      <c r="G32" s="364">
        <f>'Szoc.rász.'!D22</f>
        <v>11815</v>
      </c>
      <c r="H32" s="364" t="e">
        <f>#REF!</f>
        <v>#REF!</v>
      </c>
      <c r="I32" s="364" t="e">
        <f>#REF!</f>
        <v>#REF!</v>
      </c>
      <c r="J32" s="364"/>
      <c r="K32" s="364">
        <f t="shared" si="23"/>
        <v>12041</v>
      </c>
      <c r="L32" s="364" t="e">
        <f>#REF!</f>
        <v>#REF!</v>
      </c>
      <c r="M32" s="364"/>
      <c r="N32" s="364"/>
      <c r="O32" s="364">
        <f t="shared" si="24"/>
        <v>12041</v>
      </c>
      <c r="P32" s="364" t="e">
        <f t="shared" si="25"/>
        <v>#REF!</v>
      </c>
      <c r="Q32" s="364" t="e">
        <f>#REF!</f>
        <v>#REF!</v>
      </c>
      <c r="R32" s="364" t="e">
        <f>#REF!</f>
        <v>#REF!</v>
      </c>
      <c r="S32" s="364"/>
      <c r="T32" s="364" t="e">
        <f t="shared" si="26"/>
        <v>#REF!</v>
      </c>
      <c r="U32" s="364" t="e">
        <f>#REF!</f>
        <v>#REF!</v>
      </c>
      <c r="V32" s="364"/>
      <c r="W32" s="364"/>
      <c r="X32" s="364">
        <f>'Szoc.rász.'!F22</f>
        <v>1034</v>
      </c>
      <c r="Y32" s="364" t="e">
        <f t="shared" si="27"/>
        <v>#REF!</v>
      </c>
      <c r="Z32" s="364" t="e">
        <f t="shared" si="28"/>
        <v>#REF!</v>
      </c>
      <c r="AA32" s="364"/>
      <c r="AB32" s="364" t="e">
        <f t="shared" si="29"/>
        <v>#REF!</v>
      </c>
      <c r="AC32" s="364"/>
      <c r="AD32" s="364">
        <v>2383</v>
      </c>
      <c r="AE32" s="364"/>
      <c r="AF32" s="364">
        <f>'Szoc.rász.'!L22</f>
        <v>3520</v>
      </c>
      <c r="AG32" s="361" t="e">
        <f t="shared" si="21"/>
        <v>#REF!</v>
      </c>
      <c r="AH32" s="361" t="e">
        <f t="shared" si="21"/>
        <v>#REF!</v>
      </c>
      <c r="AI32" s="361" t="e">
        <f t="shared" si="22"/>
        <v>#REF!</v>
      </c>
      <c r="AJ32" s="361">
        <f t="shared" si="22"/>
        <v>0</v>
      </c>
      <c r="AK32" s="361" t="e">
        <f>F32+P32+Z32</f>
        <v>#REF!</v>
      </c>
      <c r="AL32" s="361">
        <f>J32+S32+AA32</f>
        <v>0</v>
      </c>
      <c r="AM32" s="361" t="e">
        <f>F32+T32+AD32</f>
        <v>#REF!</v>
      </c>
      <c r="AN32" s="361"/>
      <c r="AO32" s="361">
        <f>G32+X32+AF32</f>
        <v>16369</v>
      </c>
      <c r="AP32" s="361">
        <f t="shared" si="30"/>
        <v>0</v>
      </c>
      <c r="AQ32" s="361">
        <f t="shared" si="31"/>
        <v>16369</v>
      </c>
    </row>
    <row r="33" spans="1:43" s="216" customFormat="1" ht="15" hidden="1" customHeight="1">
      <c r="A33" s="597" t="s">
        <v>132</v>
      </c>
      <c r="B33" s="364" t="e">
        <f>#REF!</f>
        <v>#REF!</v>
      </c>
      <c r="C33" s="364" t="e">
        <f>#REF!</f>
        <v>#REF!</v>
      </c>
      <c r="D33" s="364" t="e">
        <f>#REF!</f>
        <v>#REF!</v>
      </c>
      <c r="E33" s="364"/>
      <c r="F33" s="364">
        <v>7672</v>
      </c>
      <c r="G33" s="364">
        <f>'Szoc.rász.'!D33</f>
        <v>7672</v>
      </c>
      <c r="H33" s="364" t="e">
        <f>#REF!</f>
        <v>#REF!</v>
      </c>
      <c r="I33" s="364" t="e">
        <f>#REF!</f>
        <v>#REF!</v>
      </c>
      <c r="J33" s="364"/>
      <c r="K33" s="364">
        <f t="shared" si="23"/>
        <v>7672</v>
      </c>
      <c r="L33" s="364" t="e">
        <f>#REF!</f>
        <v>#REF!</v>
      </c>
      <c r="M33" s="364"/>
      <c r="N33" s="364"/>
      <c r="O33" s="364">
        <f t="shared" si="24"/>
        <v>7672</v>
      </c>
      <c r="P33" s="364" t="e">
        <f t="shared" si="25"/>
        <v>#REF!</v>
      </c>
      <c r="Q33" s="364"/>
      <c r="R33" s="364"/>
      <c r="S33" s="364"/>
      <c r="T33" s="364" t="e">
        <f t="shared" si="26"/>
        <v>#REF!</v>
      </c>
      <c r="U33" s="364"/>
      <c r="V33" s="364"/>
      <c r="W33" s="364"/>
      <c r="X33" s="364">
        <f>'Szoc.rász.'!F33</f>
        <v>671</v>
      </c>
      <c r="Y33" s="364" t="e">
        <f t="shared" si="27"/>
        <v>#REF!</v>
      </c>
      <c r="Z33" s="364"/>
      <c r="AA33" s="364"/>
      <c r="AB33" s="364"/>
      <c r="AC33" s="364"/>
      <c r="AD33" s="364">
        <v>0</v>
      </c>
      <c r="AE33" s="364"/>
      <c r="AF33" s="364"/>
      <c r="AG33" s="361" t="e">
        <f t="shared" si="21"/>
        <v>#REF!</v>
      </c>
      <c r="AH33" s="361" t="e">
        <f t="shared" si="21"/>
        <v>#REF!</v>
      </c>
      <c r="AI33" s="361" t="e">
        <f t="shared" si="22"/>
        <v>#REF!</v>
      </c>
      <c r="AJ33" s="361">
        <f t="shared" si="22"/>
        <v>0</v>
      </c>
      <c r="AK33" s="361" t="e">
        <f>F33+P33+Z33</f>
        <v>#REF!</v>
      </c>
      <c r="AL33" s="361">
        <f>J33+S33+AA33</f>
        <v>0</v>
      </c>
      <c r="AM33" s="361" t="e">
        <f>F33+T33+AD33</f>
        <v>#REF!</v>
      </c>
      <c r="AN33" s="361"/>
      <c r="AO33" s="361">
        <f>G33+X33+AF33</f>
        <v>8343</v>
      </c>
      <c r="AP33" s="361">
        <f t="shared" si="30"/>
        <v>0</v>
      </c>
      <c r="AQ33" s="361">
        <f t="shared" si="31"/>
        <v>8343</v>
      </c>
    </row>
    <row r="34" spans="1:43" s="215" customFormat="1" ht="23.25" customHeight="1">
      <c r="A34" s="596" t="s">
        <v>133</v>
      </c>
      <c r="B34" s="356">
        <f t="shared" ref="B34:AQ34" si="32">B35+B36+B37+B38+B39+B40+B41+B42+B43</f>
        <v>5495</v>
      </c>
      <c r="C34" s="356">
        <f t="shared" si="32"/>
        <v>0</v>
      </c>
      <c r="D34" s="356">
        <f t="shared" si="32"/>
        <v>5495</v>
      </c>
      <c r="E34" s="356">
        <f t="shared" si="32"/>
        <v>0</v>
      </c>
      <c r="F34" s="356">
        <f t="shared" si="32"/>
        <v>5495</v>
      </c>
      <c r="G34" s="356">
        <f t="shared" si="32"/>
        <v>5383</v>
      </c>
      <c r="H34" s="356">
        <f t="shared" si="32"/>
        <v>1087</v>
      </c>
      <c r="I34" s="356">
        <f t="shared" si="32"/>
        <v>0</v>
      </c>
      <c r="J34" s="356">
        <f t="shared" si="32"/>
        <v>0</v>
      </c>
      <c r="K34" s="356">
        <f t="shared" si="32"/>
        <v>5495</v>
      </c>
      <c r="L34" s="356">
        <f t="shared" si="32"/>
        <v>1087</v>
      </c>
      <c r="M34" s="356">
        <f t="shared" si="32"/>
        <v>0</v>
      </c>
      <c r="N34" s="356">
        <f t="shared" si="32"/>
        <v>0</v>
      </c>
      <c r="O34" s="356">
        <f t="shared" si="32"/>
        <v>5495</v>
      </c>
      <c r="P34" s="356">
        <f t="shared" si="32"/>
        <v>1087</v>
      </c>
      <c r="Q34" s="356">
        <f t="shared" si="32"/>
        <v>173418</v>
      </c>
      <c r="R34" s="356">
        <f t="shared" si="32"/>
        <v>0</v>
      </c>
      <c r="S34" s="356">
        <f t="shared" si="32"/>
        <v>0</v>
      </c>
      <c r="T34" s="356">
        <f t="shared" si="32"/>
        <v>1087</v>
      </c>
      <c r="U34" s="356">
        <f t="shared" si="32"/>
        <v>173418</v>
      </c>
      <c r="V34" s="356">
        <f t="shared" si="32"/>
        <v>0</v>
      </c>
      <c r="W34" s="356">
        <f t="shared" si="32"/>
        <v>0</v>
      </c>
      <c r="X34" s="356">
        <f t="shared" si="32"/>
        <v>962</v>
      </c>
      <c r="Y34" s="356">
        <f t="shared" si="32"/>
        <v>2049</v>
      </c>
      <c r="Z34" s="356">
        <f t="shared" si="32"/>
        <v>173418</v>
      </c>
      <c r="AA34" s="356">
        <f t="shared" si="32"/>
        <v>0</v>
      </c>
      <c r="AB34" s="356">
        <f t="shared" si="32"/>
        <v>173418</v>
      </c>
      <c r="AC34" s="356">
        <f t="shared" si="32"/>
        <v>0</v>
      </c>
      <c r="AD34" s="356">
        <f t="shared" si="32"/>
        <v>168627</v>
      </c>
      <c r="AE34" s="356">
        <f t="shared" si="32"/>
        <v>0</v>
      </c>
      <c r="AF34" s="356">
        <f t="shared" si="32"/>
        <v>153655</v>
      </c>
      <c r="AG34" s="356">
        <f t="shared" si="32"/>
        <v>180000</v>
      </c>
      <c r="AH34" s="356">
        <f t="shared" si="32"/>
        <v>0</v>
      </c>
      <c r="AI34" s="356">
        <f t="shared" si="32"/>
        <v>180000</v>
      </c>
      <c r="AJ34" s="356">
        <f t="shared" si="32"/>
        <v>0</v>
      </c>
      <c r="AK34" s="356">
        <f t="shared" si="32"/>
        <v>180000</v>
      </c>
      <c r="AL34" s="356">
        <f t="shared" si="32"/>
        <v>0</v>
      </c>
      <c r="AM34" s="356">
        <f t="shared" si="32"/>
        <v>175209</v>
      </c>
      <c r="AN34" s="356">
        <f t="shared" si="32"/>
        <v>0</v>
      </c>
      <c r="AO34" s="356">
        <f t="shared" si="32"/>
        <v>160000</v>
      </c>
      <c r="AP34" s="356">
        <f t="shared" si="32"/>
        <v>0</v>
      </c>
      <c r="AQ34" s="356">
        <f t="shared" si="32"/>
        <v>160000</v>
      </c>
    </row>
    <row r="35" spans="1:43" s="216" customFormat="1" ht="15" hidden="1" customHeight="1">
      <c r="A35" s="597" t="s">
        <v>134</v>
      </c>
      <c r="B35" s="364"/>
      <c r="C35" s="364"/>
      <c r="D35" s="364"/>
      <c r="E35" s="364"/>
      <c r="F35" s="364"/>
      <c r="G35" s="364"/>
      <c r="H35" s="364"/>
      <c r="I35" s="364"/>
      <c r="J35" s="364"/>
      <c r="K35" s="364"/>
      <c r="L35" s="364"/>
      <c r="M35" s="364"/>
      <c r="N35" s="364"/>
      <c r="O35" s="364"/>
      <c r="P35" s="364"/>
      <c r="Q35" s="364">
        <v>34300</v>
      </c>
      <c r="R35" s="364"/>
      <c r="S35" s="364"/>
      <c r="T35" s="364"/>
      <c r="U35" s="364">
        <f>SUM(Q35:R35)</f>
        <v>34300</v>
      </c>
      <c r="V35" s="364"/>
      <c r="W35" s="364"/>
      <c r="X35" s="364"/>
      <c r="Y35" s="364"/>
      <c r="Z35" s="364">
        <f>SUM(U35:V35)</f>
        <v>34300</v>
      </c>
      <c r="AA35" s="364"/>
      <c r="AB35" s="364">
        <v>34300</v>
      </c>
      <c r="AC35" s="364"/>
      <c r="AD35" s="364">
        <v>36597</v>
      </c>
      <c r="AE35" s="364"/>
      <c r="AF35" s="364">
        <v>29300</v>
      </c>
      <c r="AG35" s="361">
        <f t="shared" ref="AG35:AG43" si="33">B35+H35+Q35</f>
        <v>34300</v>
      </c>
      <c r="AH35" s="361">
        <f t="shared" ref="AH35:AH43" si="34">C35+I35+R35</f>
        <v>0</v>
      </c>
      <c r="AI35" s="361">
        <f>D35+L35+U35</f>
        <v>34300</v>
      </c>
      <c r="AJ35" s="361">
        <f>E35+M35+V35</f>
        <v>0</v>
      </c>
      <c r="AK35" s="361">
        <f t="shared" ref="AK35:AK43" si="35">F35+P35+Z35</f>
        <v>34300</v>
      </c>
      <c r="AL35" s="361">
        <f t="shared" ref="AL35:AL43" si="36">J35+S35+AA35</f>
        <v>0</v>
      </c>
      <c r="AM35" s="361">
        <f t="shared" ref="AM35:AM43" si="37">F35+T35+AD35</f>
        <v>36597</v>
      </c>
      <c r="AN35" s="361"/>
      <c r="AO35" s="361">
        <f t="shared" ref="AO35:AO43" si="38">G35+X35+AF35</f>
        <v>29300</v>
      </c>
      <c r="AP35" s="361">
        <f t="shared" ref="AP35" si="39">W35+AE35+AN35</f>
        <v>0</v>
      </c>
      <c r="AQ35" s="361">
        <f>SUM(AO35:AP35)</f>
        <v>29300</v>
      </c>
    </row>
    <row r="36" spans="1:43" s="216" customFormat="1" ht="15" hidden="1" customHeight="1">
      <c r="A36" s="597" t="s">
        <v>135</v>
      </c>
      <c r="B36" s="364"/>
      <c r="C36" s="364"/>
      <c r="D36" s="364"/>
      <c r="E36" s="364"/>
      <c r="F36" s="364"/>
      <c r="G36" s="364"/>
      <c r="H36" s="364"/>
      <c r="I36" s="364"/>
      <c r="J36" s="364"/>
      <c r="K36" s="364"/>
      <c r="L36" s="364"/>
      <c r="M36" s="364"/>
      <c r="N36" s="364"/>
      <c r="O36" s="364"/>
      <c r="P36" s="364"/>
      <c r="Q36" s="364">
        <f>45000-17782</f>
        <v>27218</v>
      </c>
      <c r="R36" s="364"/>
      <c r="S36" s="364"/>
      <c r="T36" s="364"/>
      <c r="U36" s="364">
        <f t="shared" ref="U36:U43" si="40">SUM(Q36:R36)</f>
        <v>27218</v>
      </c>
      <c r="V36" s="364"/>
      <c r="W36" s="364"/>
      <c r="X36" s="364"/>
      <c r="Y36" s="364"/>
      <c r="Z36" s="364">
        <f t="shared" ref="Z36:Z43" si="41">SUM(U36:V36)</f>
        <v>27218</v>
      </c>
      <c r="AA36" s="364"/>
      <c r="AB36" s="364">
        <v>27218</v>
      </c>
      <c r="AC36" s="364"/>
      <c r="AD36" s="364">
        <v>27218</v>
      </c>
      <c r="AE36" s="364"/>
      <c r="AF36" s="364">
        <v>27218</v>
      </c>
      <c r="AG36" s="361">
        <f t="shared" si="33"/>
        <v>27218</v>
      </c>
      <c r="AH36" s="361">
        <f t="shared" si="34"/>
        <v>0</v>
      </c>
      <c r="AI36" s="361">
        <f t="shared" ref="AI36:AI43" si="42">SUM(AG36:AH36)</f>
        <v>27218</v>
      </c>
      <c r="AJ36" s="361">
        <f t="shared" ref="AJ36:AJ43" si="43">E36+M36+V36</f>
        <v>0</v>
      </c>
      <c r="AK36" s="361">
        <f t="shared" si="35"/>
        <v>27218</v>
      </c>
      <c r="AL36" s="361">
        <f t="shared" si="36"/>
        <v>0</v>
      </c>
      <c r="AM36" s="361">
        <f t="shared" si="37"/>
        <v>27218</v>
      </c>
      <c r="AN36" s="361"/>
      <c r="AO36" s="361">
        <f t="shared" si="38"/>
        <v>27218</v>
      </c>
      <c r="AP36" s="361">
        <f t="shared" ref="AP36:AP43" si="44">W36+AE36+AN36</f>
        <v>0</v>
      </c>
      <c r="AQ36" s="361">
        <f t="shared" ref="AQ36:AQ43" si="45">SUM(AO36:AP36)</f>
        <v>27218</v>
      </c>
    </row>
    <row r="37" spans="1:43" s="216" customFormat="1" ht="15" hidden="1" customHeight="1">
      <c r="A37" s="597" t="s">
        <v>136</v>
      </c>
      <c r="B37" s="364"/>
      <c r="C37" s="364"/>
      <c r="D37" s="364"/>
      <c r="E37" s="364"/>
      <c r="F37" s="364"/>
      <c r="G37" s="364"/>
      <c r="H37" s="364"/>
      <c r="I37" s="364"/>
      <c r="J37" s="364"/>
      <c r="K37" s="364"/>
      <c r="L37" s="364"/>
      <c r="M37" s="364"/>
      <c r="N37" s="364"/>
      <c r="O37" s="364"/>
      <c r="P37" s="364"/>
      <c r="Q37" s="364">
        <v>25000</v>
      </c>
      <c r="R37" s="364"/>
      <c r="S37" s="364"/>
      <c r="T37" s="364"/>
      <c r="U37" s="364">
        <f t="shared" si="40"/>
        <v>25000</v>
      </c>
      <c r="V37" s="364"/>
      <c r="W37" s="364"/>
      <c r="X37" s="364"/>
      <c r="Y37" s="364"/>
      <c r="Z37" s="364">
        <f t="shared" si="41"/>
        <v>25000</v>
      </c>
      <c r="AA37" s="364"/>
      <c r="AB37" s="364">
        <f t="shared" ref="AB37:AB42" si="46">Z37+AA37</f>
        <v>25000</v>
      </c>
      <c r="AC37" s="364"/>
      <c r="AD37" s="364">
        <v>25000</v>
      </c>
      <c r="AE37" s="364"/>
      <c r="AF37" s="364">
        <v>20000</v>
      </c>
      <c r="AG37" s="361">
        <f t="shared" si="33"/>
        <v>25000</v>
      </c>
      <c r="AH37" s="361">
        <f t="shared" si="34"/>
        <v>0</v>
      </c>
      <c r="AI37" s="361">
        <f t="shared" si="42"/>
        <v>25000</v>
      </c>
      <c r="AJ37" s="361">
        <f t="shared" si="43"/>
        <v>0</v>
      </c>
      <c r="AK37" s="361">
        <f t="shared" si="35"/>
        <v>25000</v>
      </c>
      <c r="AL37" s="361">
        <f t="shared" si="36"/>
        <v>0</v>
      </c>
      <c r="AM37" s="361">
        <f t="shared" si="37"/>
        <v>25000</v>
      </c>
      <c r="AN37" s="361"/>
      <c r="AO37" s="361">
        <f t="shared" si="38"/>
        <v>20000</v>
      </c>
      <c r="AP37" s="361">
        <f t="shared" si="44"/>
        <v>0</v>
      </c>
      <c r="AQ37" s="361">
        <f t="shared" si="45"/>
        <v>20000</v>
      </c>
    </row>
    <row r="38" spans="1:43" s="216" customFormat="1" ht="15" hidden="1" customHeight="1">
      <c r="A38" s="597" t="s">
        <v>137</v>
      </c>
      <c r="B38" s="364"/>
      <c r="C38" s="364"/>
      <c r="D38" s="364"/>
      <c r="E38" s="364"/>
      <c r="F38" s="364"/>
      <c r="G38" s="364"/>
      <c r="H38" s="364"/>
      <c r="I38" s="364"/>
      <c r="J38" s="364"/>
      <c r="K38" s="364"/>
      <c r="L38" s="364"/>
      <c r="M38" s="364"/>
      <c r="N38" s="364"/>
      <c r="O38" s="364"/>
      <c r="P38" s="364"/>
      <c r="Q38" s="364">
        <v>18850</v>
      </c>
      <c r="R38" s="364"/>
      <c r="S38" s="364"/>
      <c r="T38" s="364"/>
      <c r="U38" s="364">
        <f t="shared" si="40"/>
        <v>18850</v>
      </c>
      <c r="V38" s="364"/>
      <c r="W38" s="364"/>
      <c r="X38" s="364"/>
      <c r="Y38" s="364"/>
      <c r="Z38" s="364">
        <f t="shared" si="41"/>
        <v>18850</v>
      </c>
      <c r="AA38" s="364"/>
      <c r="AB38" s="364">
        <f t="shared" si="46"/>
        <v>18850</v>
      </c>
      <c r="AC38" s="364"/>
      <c r="AD38" s="364">
        <v>18850</v>
      </c>
      <c r="AE38" s="364"/>
      <c r="AF38" s="364">
        <f>AC38+AD38</f>
        <v>18850</v>
      </c>
      <c r="AG38" s="361">
        <f t="shared" si="33"/>
        <v>18850</v>
      </c>
      <c r="AH38" s="361">
        <f t="shared" si="34"/>
        <v>0</v>
      </c>
      <c r="AI38" s="361">
        <f t="shared" si="42"/>
        <v>18850</v>
      </c>
      <c r="AJ38" s="361">
        <f t="shared" si="43"/>
        <v>0</v>
      </c>
      <c r="AK38" s="361">
        <f t="shared" si="35"/>
        <v>18850</v>
      </c>
      <c r="AL38" s="361">
        <f t="shared" si="36"/>
        <v>0</v>
      </c>
      <c r="AM38" s="361">
        <f t="shared" si="37"/>
        <v>18850</v>
      </c>
      <c r="AN38" s="361"/>
      <c r="AO38" s="361">
        <f t="shared" si="38"/>
        <v>18850</v>
      </c>
      <c r="AP38" s="361">
        <f t="shared" si="44"/>
        <v>0</v>
      </c>
      <c r="AQ38" s="361">
        <f t="shared" si="45"/>
        <v>18850</v>
      </c>
    </row>
    <row r="39" spans="1:43" s="216" customFormat="1" ht="15" hidden="1" customHeight="1">
      <c r="A39" s="597" t="s">
        <v>138</v>
      </c>
      <c r="B39" s="364"/>
      <c r="C39" s="364"/>
      <c r="D39" s="364"/>
      <c r="E39" s="364"/>
      <c r="F39" s="364"/>
      <c r="G39" s="364"/>
      <c r="H39" s="364"/>
      <c r="I39" s="364"/>
      <c r="J39" s="364"/>
      <c r="K39" s="364"/>
      <c r="L39" s="364"/>
      <c r="M39" s="364"/>
      <c r="N39" s="364"/>
      <c r="O39" s="364"/>
      <c r="P39" s="364"/>
      <c r="Q39" s="364">
        <v>1900</v>
      </c>
      <c r="R39" s="364"/>
      <c r="S39" s="364"/>
      <c r="T39" s="364"/>
      <c r="U39" s="364">
        <f t="shared" si="40"/>
        <v>1900</v>
      </c>
      <c r="V39" s="364"/>
      <c r="W39" s="364"/>
      <c r="X39" s="364"/>
      <c r="Y39" s="364"/>
      <c r="Z39" s="364">
        <f t="shared" si="41"/>
        <v>1900</v>
      </c>
      <c r="AA39" s="364"/>
      <c r="AB39" s="364">
        <f t="shared" si="46"/>
        <v>1900</v>
      </c>
      <c r="AC39" s="364"/>
      <c r="AD39" s="364">
        <v>1900</v>
      </c>
      <c r="AE39" s="364"/>
      <c r="AF39" s="364">
        <f>AC39+AD39</f>
        <v>1900</v>
      </c>
      <c r="AG39" s="361">
        <f t="shared" si="33"/>
        <v>1900</v>
      </c>
      <c r="AH39" s="361">
        <f t="shared" si="34"/>
        <v>0</v>
      </c>
      <c r="AI39" s="361">
        <f t="shared" si="42"/>
        <v>1900</v>
      </c>
      <c r="AJ39" s="361">
        <f t="shared" si="43"/>
        <v>0</v>
      </c>
      <c r="AK39" s="361">
        <f t="shared" si="35"/>
        <v>1900</v>
      </c>
      <c r="AL39" s="361">
        <f t="shared" si="36"/>
        <v>0</v>
      </c>
      <c r="AM39" s="361">
        <f t="shared" si="37"/>
        <v>1900</v>
      </c>
      <c r="AN39" s="361"/>
      <c r="AO39" s="361">
        <f t="shared" si="38"/>
        <v>1900</v>
      </c>
      <c r="AP39" s="361">
        <f t="shared" si="44"/>
        <v>0</v>
      </c>
      <c r="AQ39" s="361">
        <f t="shared" si="45"/>
        <v>1900</v>
      </c>
    </row>
    <row r="40" spans="1:43" s="216" customFormat="1" ht="15" hidden="1" customHeight="1">
      <c r="A40" s="597" t="s">
        <v>139</v>
      </c>
      <c r="B40" s="364"/>
      <c r="C40" s="364"/>
      <c r="D40" s="364"/>
      <c r="E40" s="364"/>
      <c r="F40" s="364"/>
      <c r="G40" s="364"/>
      <c r="H40" s="364"/>
      <c r="I40" s="364"/>
      <c r="J40" s="364"/>
      <c r="K40" s="364"/>
      <c r="L40" s="364"/>
      <c r="M40" s="364"/>
      <c r="N40" s="364"/>
      <c r="O40" s="364"/>
      <c r="P40" s="364"/>
      <c r="Q40" s="364">
        <v>2650</v>
      </c>
      <c r="R40" s="364"/>
      <c r="S40" s="364"/>
      <c r="T40" s="364"/>
      <c r="U40" s="364">
        <f t="shared" si="40"/>
        <v>2650</v>
      </c>
      <c r="V40" s="364"/>
      <c r="W40" s="364"/>
      <c r="X40" s="364"/>
      <c r="Y40" s="364"/>
      <c r="Z40" s="364">
        <f t="shared" si="41"/>
        <v>2650</v>
      </c>
      <c r="AA40" s="364"/>
      <c r="AB40" s="364">
        <f t="shared" si="46"/>
        <v>2650</v>
      </c>
      <c r="AC40" s="364"/>
      <c r="AD40" s="364">
        <v>2650</v>
      </c>
      <c r="AE40" s="364"/>
      <c r="AF40" s="364">
        <f>AC40+AD40</f>
        <v>2650</v>
      </c>
      <c r="AG40" s="361">
        <f t="shared" si="33"/>
        <v>2650</v>
      </c>
      <c r="AH40" s="361">
        <f t="shared" si="34"/>
        <v>0</v>
      </c>
      <c r="AI40" s="361">
        <f t="shared" si="42"/>
        <v>2650</v>
      </c>
      <c r="AJ40" s="361">
        <f t="shared" si="43"/>
        <v>0</v>
      </c>
      <c r="AK40" s="361">
        <f t="shared" si="35"/>
        <v>2650</v>
      </c>
      <c r="AL40" s="361">
        <f t="shared" si="36"/>
        <v>0</v>
      </c>
      <c r="AM40" s="361">
        <f t="shared" si="37"/>
        <v>2650</v>
      </c>
      <c r="AN40" s="361"/>
      <c r="AO40" s="361">
        <f t="shared" si="38"/>
        <v>2650</v>
      </c>
      <c r="AP40" s="361">
        <f t="shared" si="44"/>
        <v>0</v>
      </c>
      <c r="AQ40" s="361">
        <f t="shared" si="45"/>
        <v>2650</v>
      </c>
    </row>
    <row r="41" spans="1:43" s="216" customFormat="1" ht="15" hidden="1" customHeight="1">
      <c r="A41" s="597" t="s">
        <v>140</v>
      </c>
      <c r="B41" s="364"/>
      <c r="C41" s="364"/>
      <c r="D41" s="364"/>
      <c r="E41" s="364"/>
      <c r="F41" s="364"/>
      <c r="G41" s="364"/>
      <c r="H41" s="364"/>
      <c r="I41" s="364"/>
      <c r="J41" s="364"/>
      <c r="K41" s="364"/>
      <c r="L41" s="364"/>
      <c r="M41" s="364"/>
      <c r="N41" s="364"/>
      <c r="O41" s="364"/>
      <c r="P41" s="364"/>
      <c r="Q41" s="364">
        <v>58500</v>
      </c>
      <c r="R41" s="364"/>
      <c r="S41" s="364"/>
      <c r="T41" s="364"/>
      <c r="U41" s="364">
        <f t="shared" si="40"/>
        <v>58500</v>
      </c>
      <c r="V41" s="364"/>
      <c r="W41" s="364"/>
      <c r="X41" s="364"/>
      <c r="Y41" s="364"/>
      <c r="Z41" s="364">
        <f t="shared" si="41"/>
        <v>58500</v>
      </c>
      <c r="AA41" s="364"/>
      <c r="AB41" s="364">
        <v>58500</v>
      </c>
      <c r="AC41" s="364"/>
      <c r="AD41" s="364">
        <v>52000</v>
      </c>
      <c r="AE41" s="364"/>
      <c r="AF41" s="364">
        <v>48737</v>
      </c>
      <c r="AG41" s="361">
        <f t="shared" si="33"/>
        <v>58500</v>
      </c>
      <c r="AH41" s="361">
        <f t="shared" si="34"/>
        <v>0</v>
      </c>
      <c r="AI41" s="361">
        <f t="shared" si="42"/>
        <v>58500</v>
      </c>
      <c r="AJ41" s="361">
        <f t="shared" si="43"/>
        <v>0</v>
      </c>
      <c r="AK41" s="361">
        <f t="shared" si="35"/>
        <v>58500</v>
      </c>
      <c r="AL41" s="361">
        <f t="shared" si="36"/>
        <v>0</v>
      </c>
      <c r="AM41" s="361">
        <f t="shared" si="37"/>
        <v>52000</v>
      </c>
      <c r="AN41" s="361"/>
      <c r="AO41" s="361">
        <f t="shared" si="38"/>
        <v>48737</v>
      </c>
      <c r="AP41" s="361">
        <f t="shared" si="44"/>
        <v>0</v>
      </c>
      <c r="AQ41" s="361">
        <f t="shared" si="45"/>
        <v>48737</v>
      </c>
    </row>
    <row r="42" spans="1:43" s="216" customFormat="1" ht="15" hidden="1" customHeight="1">
      <c r="A42" s="597" t="s">
        <v>141</v>
      </c>
      <c r="B42" s="364">
        <f>3215+2280</f>
        <v>5495</v>
      </c>
      <c r="C42" s="364"/>
      <c r="D42" s="364">
        <f>SUM(B42:C42)</f>
        <v>5495</v>
      </c>
      <c r="E42" s="364"/>
      <c r="F42" s="364">
        <v>5495</v>
      </c>
      <c r="G42" s="364">
        <v>5383</v>
      </c>
      <c r="H42" s="364">
        <v>1087</v>
      </c>
      <c r="I42" s="364"/>
      <c r="J42" s="364"/>
      <c r="K42" s="364">
        <f>F42+J42</f>
        <v>5495</v>
      </c>
      <c r="L42" s="364">
        <f>SUM(H42:I42)</f>
        <v>1087</v>
      </c>
      <c r="M42" s="364"/>
      <c r="N42" s="364"/>
      <c r="O42" s="364">
        <f t="shared" ref="O42" si="47">K42+N42</f>
        <v>5495</v>
      </c>
      <c r="P42" s="364">
        <f>SUM(L42:M42)</f>
        <v>1087</v>
      </c>
      <c r="Q42" s="364"/>
      <c r="R42" s="364"/>
      <c r="S42" s="364"/>
      <c r="T42" s="364">
        <f>P42+S42</f>
        <v>1087</v>
      </c>
      <c r="U42" s="364">
        <f t="shared" si="40"/>
        <v>0</v>
      </c>
      <c r="V42" s="364"/>
      <c r="W42" s="364"/>
      <c r="X42" s="364">
        <v>962</v>
      </c>
      <c r="Y42" s="364">
        <f t="shared" ref="Y42" si="48">T42+X42</f>
        <v>2049</v>
      </c>
      <c r="Z42" s="364">
        <f t="shared" si="41"/>
        <v>0</v>
      </c>
      <c r="AA42" s="364"/>
      <c r="AB42" s="364">
        <f t="shared" si="46"/>
        <v>0</v>
      </c>
      <c r="AC42" s="364"/>
      <c r="AD42" s="364">
        <v>0</v>
      </c>
      <c r="AE42" s="364"/>
      <c r="AF42" s="364">
        <f>AC42+AD42</f>
        <v>0</v>
      </c>
      <c r="AG42" s="361">
        <f t="shared" si="33"/>
        <v>6582</v>
      </c>
      <c r="AH42" s="361">
        <f t="shared" si="34"/>
        <v>0</v>
      </c>
      <c r="AI42" s="361">
        <f t="shared" si="42"/>
        <v>6582</v>
      </c>
      <c r="AJ42" s="361">
        <f t="shared" si="43"/>
        <v>0</v>
      </c>
      <c r="AK42" s="361">
        <f t="shared" si="35"/>
        <v>6582</v>
      </c>
      <c r="AL42" s="361">
        <f t="shared" si="36"/>
        <v>0</v>
      </c>
      <c r="AM42" s="361">
        <f t="shared" si="37"/>
        <v>6582</v>
      </c>
      <c r="AN42" s="361"/>
      <c r="AO42" s="361">
        <f t="shared" si="38"/>
        <v>6345</v>
      </c>
      <c r="AP42" s="361">
        <f t="shared" si="44"/>
        <v>0</v>
      </c>
      <c r="AQ42" s="361">
        <f t="shared" si="45"/>
        <v>6345</v>
      </c>
    </row>
    <row r="43" spans="1:43" s="216" customFormat="1" ht="15" hidden="1">
      <c r="A43" s="597" t="s">
        <v>142</v>
      </c>
      <c r="B43" s="364"/>
      <c r="C43" s="364"/>
      <c r="D43" s="364"/>
      <c r="E43" s="364"/>
      <c r="F43" s="364"/>
      <c r="G43" s="364"/>
      <c r="H43" s="364"/>
      <c r="I43" s="364"/>
      <c r="J43" s="364"/>
      <c r="K43" s="364"/>
      <c r="L43" s="364"/>
      <c r="M43" s="364"/>
      <c r="N43" s="364"/>
      <c r="O43" s="364"/>
      <c r="P43" s="364"/>
      <c r="Q43" s="364">
        <v>5000</v>
      </c>
      <c r="R43" s="364"/>
      <c r="S43" s="364"/>
      <c r="T43" s="364"/>
      <c r="U43" s="364">
        <f t="shared" si="40"/>
        <v>5000</v>
      </c>
      <c r="V43" s="364"/>
      <c r="W43" s="364"/>
      <c r="X43" s="364"/>
      <c r="Y43" s="364"/>
      <c r="Z43" s="364">
        <f t="shared" si="41"/>
        <v>5000</v>
      </c>
      <c r="AA43" s="364"/>
      <c r="AB43" s="364">
        <v>5000</v>
      </c>
      <c r="AC43" s="364"/>
      <c r="AD43" s="364">
        <v>4412</v>
      </c>
      <c r="AE43" s="364"/>
      <c r="AF43" s="364">
        <v>5000</v>
      </c>
      <c r="AG43" s="361">
        <f t="shared" si="33"/>
        <v>5000</v>
      </c>
      <c r="AH43" s="361">
        <f t="shared" si="34"/>
        <v>0</v>
      </c>
      <c r="AI43" s="361">
        <f t="shared" si="42"/>
        <v>5000</v>
      </c>
      <c r="AJ43" s="361">
        <f t="shared" si="43"/>
        <v>0</v>
      </c>
      <c r="AK43" s="361">
        <f t="shared" si="35"/>
        <v>5000</v>
      </c>
      <c r="AL43" s="361">
        <f t="shared" si="36"/>
        <v>0</v>
      </c>
      <c r="AM43" s="361">
        <f t="shared" si="37"/>
        <v>4412</v>
      </c>
      <c r="AN43" s="361"/>
      <c r="AO43" s="361">
        <f t="shared" si="38"/>
        <v>5000</v>
      </c>
      <c r="AP43" s="361">
        <f t="shared" si="44"/>
        <v>0</v>
      </c>
      <c r="AQ43" s="361">
        <f t="shared" si="45"/>
        <v>5000</v>
      </c>
    </row>
    <row r="44" spans="1:43" s="215" customFormat="1" ht="34.5" customHeight="1">
      <c r="A44" s="596" t="s">
        <v>143</v>
      </c>
      <c r="B44" s="356" t="e">
        <f>B45+B46+B47+B48+#REF!</f>
        <v>#REF!</v>
      </c>
      <c r="C44" s="356" t="e">
        <f>C45+C46+C47+C48+#REF!</f>
        <v>#REF!</v>
      </c>
      <c r="D44" s="356" t="e">
        <f>D45+D46+D47+D48+#REF!</f>
        <v>#REF!</v>
      </c>
      <c r="E44" s="356" t="e">
        <f>E45+E46+E47+E48+#REF!</f>
        <v>#REF!</v>
      </c>
      <c r="F44" s="356">
        <v>0</v>
      </c>
      <c r="G44" s="356">
        <f>G45+G46+G47+G48</f>
        <v>0</v>
      </c>
      <c r="H44" s="356">
        <f t="shared" ref="H44:AQ44" si="49">H45+H46+H47+H48</f>
        <v>0</v>
      </c>
      <c r="I44" s="356">
        <f t="shared" si="49"/>
        <v>0</v>
      </c>
      <c r="J44" s="356">
        <f t="shared" si="49"/>
        <v>0</v>
      </c>
      <c r="K44" s="356">
        <f t="shared" si="49"/>
        <v>0</v>
      </c>
      <c r="L44" s="356">
        <f t="shared" si="49"/>
        <v>0</v>
      </c>
      <c r="M44" s="356">
        <f t="shared" si="49"/>
        <v>0</v>
      </c>
      <c r="N44" s="356">
        <f t="shared" si="49"/>
        <v>0</v>
      </c>
      <c r="O44" s="356">
        <f t="shared" si="49"/>
        <v>0</v>
      </c>
      <c r="P44" s="356">
        <f t="shared" si="49"/>
        <v>0</v>
      </c>
      <c r="Q44" s="356">
        <f t="shared" si="49"/>
        <v>77208</v>
      </c>
      <c r="R44" s="356">
        <f t="shared" si="49"/>
        <v>0</v>
      </c>
      <c r="S44" s="356">
        <f t="shared" si="49"/>
        <v>0</v>
      </c>
      <c r="T44" s="356">
        <f t="shared" si="49"/>
        <v>0</v>
      </c>
      <c r="U44" s="356">
        <f t="shared" si="49"/>
        <v>77208</v>
      </c>
      <c r="V44" s="356">
        <f t="shared" si="49"/>
        <v>0</v>
      </c>
      <c r="W44" s="356">
        <f t="shared" si="49"/>
        <v>0</v>
      </c>
      <c r="X44" s="356">
        <f t="shared" si="49"/>
        <v>0</v>
      </c>
      <c r="Y44" s="356">
        <f t="shared" si="49"/>
        <v>0</v>
      </c>
      <c r="Z44" s="356">
        <f t="shared" si="49"/>
        <v>77208</v>
      </c>
      <c r="AA44" s="356">
        <f t="shared" si="49"/>
        <v>0</v>
      </c>
      <c r="AB44" s="356">
        <f t="shared" si="49"/>
        <v>77208</v>
      </c>
      <c r="AC44" s="356">
        <f t="shared" si="49"/>
        <v>0</v>
      </c>
      <c r="AD44" s="356">
        <f t="shared" si="49"/>
        <v>77208</v>
      </c>
      <c r="AE44" s="356">
        <f t="shared" si="49"/>
        <v>0</v>
      </c>
      <c r="AF44" s="356">
        <f t="shared" si="49"/>
        <v>74397</v>
      </c>
      <c r="AG44" s="356">
        <f t="shared" si="49"/>
        <v>77208</v>
      </c>
      <c r="AH44" s="356">
        <f t="shared" si="49"/>
        <v>0</v>
      </c>
      <c r="AI44" s="356">
        <f t="shared" si="49"/>
        <v>77208</v>
      </c>
      <c r="AJ44" s="356">
        <f t="shared" si="49"/>
        <v>0</v>
      </c>
      <c r="AK44" s="356">
        <f t="shared" si="49"/>
        <v>77208</v>
      </c>
      <c r="AL44" s="356">
        <f t="shared" si="49"/>
        <v>0</v>
      </c>
      <c r="AM44" s="356">
        <f t="shared" si="49"/>
        <v>77208</v>
      </c>
      <c r="AN44" s="356">
        <f t="shared" si="49"/>
        <v>0</v>
      </c>
      <c r="AO44" s="356">
        <f t="shared" si="49"/>
        <v>74397</v>
      </c>
      <c r="AP44" s="356">
        <f t="shared" si="49"/>
        <v>0</v>
      </c>
      <c r="AQ44" s="356">
        <f t="shared" si="49"/>
        <v>74397</v>
      </c>
    </row>
    <row r="45" spans="1:43" s="216" customFormat="1" ht="15" hidden="1" customHeight="1">
      <c r="A45" s="597" t="s">
        <v>144</v>
      </c>
      <c r="B45" s="364"/>
      <c r="C45" s="364"/>
      <c r="D45" s="364"/>
      <c r="E45" s="364"/>
      <c r="F45" s="364"/>
      <c r="G45" s="364"/>
      <c r="H45" s="364"/>
      <c r="I45" s="364"/>
      <c r="J45" s="364"/>
      <c r="K45" s="364"/>
      <c r="L45" s="364"/>
      <c r="M45" s="364"/>
      <c r="N45" s="364"/>
      <c r="O45" s="364"/>
      <c r="P45" s="364"/>
      <c r="Q45" s="364">
        <f>12884-1000</f>
        <v>11884</v>
      </c>
      <c r="R45" s="364"/>
      <c r="S45" s="364"/>
      <c r="T45" s="364"/>
      <c r="U45" s="364">
        <f>SUM(Q45:R45)</f>
        <v>11884</v>
      </c>
      <c r="V45" s="364"/>
      <c r="W45" s="364"/>
      <c r="X45" s="364"/>
      <c r="Y45" s="364"/>
      <c r="Z45" s="364">
        <f>SUM(U45:V45)</f>
        <v>11884</v>
      </c>
      <c r="AA45" s="364"/>
      <c r="AB45" s="364">
        <f>Z45+AA45</f>
        <v>11884</v>
      </c>
      <c r="AC45" s="364"/>
      <c r="AD45" s="364">
        <v>11884</v>
      </c>
      <c r="AE45" s="364"/>
      <c r="AF45" s="364">
        <v>11884</v>
      </c>
      <c r="AG45" s="361">
        <f t="shared" ref="AG45:AH48" si="50">B45+H45+Q45</f>
        <v>11884</v>
      </c>
      <c r="AH45" s="361">
        <f t="shared" si="50"/>
        <v>0</v>
      </c>
      <c r="AI45" s="361">
        <f t="shared" ref="AI45:AJ48" si="51">D45+L45+U45</f>
        <v>11884</v>
      </c>
      <c r="AJ45" s="361">
        <f t="shared" si="51"/>
        <v>0</v>
      </c>
      <c r="AK45" s="361">
        <f>F45+P45+Z45</f>
        <v>11884</v>
      </c>
      <c r="AL45" s="361">
        <f>J45+S45+AA45</f>
        <v>0</v>
      </c>
      <c r="AM45" s="361">
        <f>F45+T45+AD45</f>
        <v>11884</v>
      </c>
      <c r="AN45" s="361"/>
      <c r="AO45" s="361">
        <f>G45+X45+AF45</f>
        <v>11884</v>
      </c>
      <c r="AP45" s="361">
        <f t="shared" ref="AP45" si="52">W45+AE45+AN45</f>
        <v>0</v>
      </c>
      <c r="AQ45" s="361">
        <f>SUM(AO45:AP45)</f>
        <v>11884</v>
      </c>
    </row>
    <row r="46" spans="1:43" s="216" customFormat="1" ht="15" hidden="1" customHeight="1">
      <c r="A46" s="597" t="s">
        <v>145</v>
      </c>
      <c r="B46" s="364"/>
      <c r="C46" s="364"/>
      <c r="D46" s="364"/>
      <c r="E46" s="364"/>
      <c r="F46" s="364"/>
      <c r="G46" s="364"/>
      <c r="H46" s="364"/>
      <c r="I46" s="364"/>
      <c r="J46" s="364"/>
      <c r="K46" s="364"/>
      <c r="L46" s="364"/>
      <c r="M46" s="364"/>
      <c r="N46" s="364"/>
      <c r="O46" s="364"/>
      <c r="P46" s="364"/>
      <c r="Q46" s="364">
        <f>10058-1000</f>
        <v>9058</v>
      </c>
      <c r="R46" s="364"/>
      <c r="S46" s="364"/>
      <c r="T46" s="364"/>
      <c r="U46" s="364">
        <f t="shared" ref="U46:U48" si="53">SUM(Q46:R46)</f>
        <v>9058</v>
      </c>
      <c r="V46" s="364"/>
      <c r="W46" s="364"/>
      <c r="X46" s="364"/>
      <c r="Y46" s="364"/>
      <c r="Z46" s="364">
        <f t="shared" ref="Z46:Z48" si="54">SUM(U46:V46)</f>
        <v>9058</v>
      </c>
      <c r="AA46" s="364"/>
      <c r="AB46" s="364">
        <f t="shared" ref="AB46:AB48" si="55">Z46+AA46</f>
        <v>9058</v>
      </c>
      <c r="AC46" s="364"/>
      <c r="AD46" s="364">
        <v>9058</v>
      </c>
      <c r="AE46" s="364"/>
      <c r="AF46" s="364">
        <v>9058</v>
      </c>
      <c r="AG46" s="361">
        <f t="shared" si="50"/>
        <v>9058</v>
      </c>
      <c r="AH46" s="361">
        <f t="shared" si="50"/>
        <v>0</v>
      </c>
      <c r="AI46" s="361">
        <f t="shared" si="51"/>
        <v>9058</v>
      </c>
      <c r="AJ46" s="361">
        <f t="shared" si="51"/>
        <v>0</v>
      </c>
      <c r="AK46" s="361">
        <f>F46+P46+Z46</f>
        <v>9058</v>
      </c>
      <c r="AL46" s="361">
        <f>J46+S46+AA46</f>
        <v>0</v>
      </c>
      <c r="AM46" s="361">
        <f>F46+T46+AD46</f>
        <v>9058</v>
      </c>
      <c r="AN46" s="361"/>
      <c r="AO46" s="361">
        <f>G46+X46+AF46</f>
        <v>9058</v>
      </c>
      <c r="AP46" s="361">
        <f t="shared" ref="AP46:AP48" si="56">W46+AE46+AN46</f>
        <v>0</v>
      </c>
      <c r="AQ46" s="361">
        <f t="shared" ref="AQ46:AQ48" si="57">SUM(AO46:AP46)</f>
        <v>9058</v>
      </c>
    </row>
    <row r="47" spans="1:43" s="216" customFormat="1" ht="15" hidden="1" customHeight="1">
      <c r="A47" s="597" t="s">
        <v>146</v>
      </c>
      <c r="B47" s="364"/>
      <c r="C47" s="364"/>
      <c r="D47" s="364"/>
      <c r="E47" s="364"/>
      <c r="F47" s="364"/>
      <c r="G47" s="364"/>
      <c r="H47" s="364"/>
      <c r="I47" s="364"/>
      <c r="J47" s="364"/>
      <c r="K47" s="364"/>
      <c r="L47" s="364"/>
      <c r="M47" s="364"/>
      <c r="N47" s="364"/>
      <c r="O47" s="364"/>
      <c r="P47" s="364"/>
      <c r="Q47" s="364">
        <f>15391-1000</f>
        <v>14391</v>
      </c>
      <c r="R47" s="364"/>
      <c r="S47" s="364"/>
      <c r="T47" s="364"/>
      <c r="U47" s="364">
        <f t="shared" si="53"/>
        <v>14391</v>
      </c>
      <c r="V47" s="364"/>
      <c r="W47" s="364"/>
      <c r="X47" s="364"/>
      <c r="Y47" s="364"/>
      <c r="Z47" s="364">
        <f t="shared" si="54"/>
        <v>14391</v>
      </c>
      <c r="AA47" s="364"/>
      <c r="AB47" s="364">
        <f t="shared" si="55"/>
        <v>14391</v>
      </c>
      <c r="AC47" s="364"/>
      <c r="AD47" s="364">
        <v>14391</v>
      </c>
      <c r="AE47" s="364"/>
      <c r="AF47" s="364">
        <v>11580</v>
      </c>
      <c r="AG47" s="361">
        <f t="shared" si="50"/>
        <v>14391</v>
      </c>
      <c r="AH47" s="361">
        <f t="shared" si="50"/>
        <v>0</v>
      </c>
      <c r="AI47" s="361">
        <f t="shared" si="51"/>
        <v>14391</v>
      </c>
      <c r="AJ47" s="361">
        <f t="shared" si="51"/>
        <v>0</v>
      </c>
      <c r="AK47" s="361">
        <f>F47+P47+Z47</f>
        <v>14391</v>
      </c>
      <c r="AL47" s="361">
        <f>J47+S47+AA47</f>
        <v>0</v>
      </c>
      <c r="AM47" s="361">
        <f>F47+T47+AD47</f>
        <v>14391</v>
      </c>
      <c r="AN47" s="361"/>
      <c r="AO47" s="361">
        <f>G47+X47+AF47</f>
        <v>11580</v>
      </c>
      <c r="AP47" s="361">
        <f t="shared" si="56"/>
        <v>0</v>
      </c>
      <c r="AQ47" s="361">
        <f t="shared" si="57"/>
        <v>11580</v>
      </c>
    </row>
    <row r="48" spans="1:43" s="216" customFormat="1" ht="15" hidden="1" customHeight="1">
      <c r="A48" s="597" t="s">
        <v>147</v>
      </c>
      <c r="B48" s="364"/>
      <c r="C48" s="364"/>
      <c r="D48" s="364"/>
      <c r="E48" s="364"/>
      <c r="F48" s="364"/>
      <c r="G48" s="364"/>
      <c r="H48" s="364"/>
      <c r="I48" s="364"/>
      <c r="J48" s="364"/>
      <c r="K48" s="364"/>
      <c r="L48" s="364"/>
      <c r="M48" s="364"/>
      <c r="N48" s="364"/>
      <c r="O48" s="364"/>
      <c r="P48" s="364"/>
      <c r="Q48" s="364">
        <f>48875-7000</f>
        <v>41875</v>
      </c>
      <c r="R48" s="364"/>
      <c r="S48" s="364"/>
      <c r="T48" s="364"/>
      <c r="U48" s="364">
        <f t="shared" si="53"/>
        <v>41875</v>
      </c>
      <c r="V48" s="364"/>
      <c r="W48" s="364"/>
      <c r="X48" s="364"/>
      <c r="Y48" s="364"/>
      <c r="Z48" s="364">
        <f t="shared" si="54"/>
        <v>41875</v>
      </c>
      <c r="AA48" s="364"/>
      <c r="AB48" s="364">
        <f t="shared" si="55"/>
        <v>41875</v>
      </c>
      <c r="AC48" s="364"/>
      <c r="AD48" s="364">
        <v>41875</v>
      </c>
      <c r="AE48" s="364"/>
      <c r="AF48" s="364">
        <v>41875</v>
      </c>
      <c r="AG48" s="361">
        <f t="shared" si="50"/>
        <v>41875</v>
      </c>
      <c r="AH48" s="361">
        <f t="shared" si="50"/>
        <v>0</v>
      </c>
      <c r="AI48" s="361">
        <f t="shared" si="51"/>
        <v>41875</v>
      </c>
      <c r="AJ48" s="361">
        <f t="shared" si="51"/>
        <v>0</v>
      </c>
      <c r="AK48" s="361">
        <f>F48+P48+Z48</f>
        <v>41875</v>
      </c>
      <c r="AL48" s="361">
        <f>J48+S48+AA48</f>
        <v>0</v>
      </c>
      <c r="AM48" s="361">
        <f>F48+T48+AD48</f>
        <v>41875</v>
      </c>
      <c r="AN48" s="361"/>
      <c r="AO48" s="361">
        <f>G48+X48+AF48</f>
        <v>41875</v>
      </c>
      <c r="AP48" s="361">
        <f t="shared" si="56"/>
        <v>0</v>
      </c>
      <c r="AQ48" s="361">
        <f t="shared" si="57"/>
        <v>41875</v>
      </c>
    </row>
    <row r="49" spans="1:43" s="215" customFormat="1" ht="22.5" customHeight="1">
      <c r="A49" s="599" t="s">
        <v>148</v>
      </c>
      <c r="B49" s="356">
        <f t="shared" ref="B49:AQ49" si="58">SUM(B50:B63)</f>
        <v>1837</v>
      </c>
      <c r="C49" s="356">
        <f t="shared" si="58"/>
        <v>3</v>
      </c>
      <c r="D49" s="356">
        <f t="shared" si="58"/>
        <v>1840</v>
      </c>
      <c r="E49" s="356">
        <f t="shared" si="58"/>
        <v>1</v>
      </c>
      <c r="F49" s="356">
        <f t="shared" si="58"/>
        <v>4181</v>
      </c>
      <c r="G49" s="356">
        <f t="shared" si="58"/>
        <v>1980</v>
      </c>
      <c r="H49" s="356">
        <f t="shared" si="58"/>
        <v>367</v>
      </c>
      <c r="I49" s="356">
        <f t="shared" si="58"/>
        <v>0</v>
      </c>
      <c r="J49" s="356">
        <f t="shared" si="58"/>
        <v>2</v>
      </c>
      <c r="K49" s="356">
        <f t="shared" si="58"/>
        <v>4180</v>
      </c>
      <c r="L49" s="356">
        <f t="shared" si="58"/>
        <v>367</v>
      </c>
      <c r="M49" s="356">
        <f t="shared" si="58"/>
        <v>0</v>
      </c>
      <c r="N49" s="356">
        <f t="shared" si="58"/>
        <v>1</v>
      </c>
      <c r="O49" s="356">
        <f t="shared" si="58"/>
        <v>4181</v>
      </c>
      <c r="P49" s="356">
        <f t="shared" si="58"/>
        <v>367</v>
      </c>
      <c r="Q49" s="356">
        <f t="shared" si="58"/>
        <v>52551</v>
      </c>
      <c r="R49" s="356">
        <f t="shared" si="58"/>
        <v>0</v>
      </c>
      <c r="S49" s="356">
        <f t="shared" si="58"/>
        <v>1</v>
      </c>
      <c r="T49" s="356">
        <f t="shared" si="58"/>
        <v>778</v>
      </c>
      <c r="U49" s="356">
        <f t="shared" si="58"/>
        <v>52551</v>
      </c>
      <c r="V49" s="356">
        <f t="shared" si="58"/>
        <v>0</v>
      </c>
      <c r="W49" s="356">
        <f t="shared" si="58"/>
        <v>1</v>
      </c>
      <c r="X49" s="356">
        <f t="shared" si="58"/>
        <v>355</v>
      </c>
      <c r="Y49" s="356">
        <f t="shared" si="58"/>
        <v>1133</v>
      </c>
      <c r="Z49" s="356">
        <f t="shared" si="58"/>
        <v>52551</v>
      </c>
      <c r="AA49" s="356">
        <f t="shared" si="58"/>
        <v>0</v>
      </c>
      <c r="AB49" s="356">
        <f t="shared" si="58"/>
        <v>52551</v>
      </c>
      <c r="AC49" s="356">
        <f t="shared" si="58"/>
        <v>0</v>
      </c>
      <c r="AD49" s="356">
        <f t="shared" si="58"/>
        <v>52551</v>
      </c>
      <c r="AE49" s="356">
        <f t="shared" si="58"/>
        <v>0</v>
      </c>
      <c r="AF49" s="356">
        <f t="shared" si="58"/>
        <v>52420</v>
      </c>
      <c r="AG49" s="356">
        <f t="shared" si="58"/>
        <v>54755</v>
      </c>
      <c r="AH49" s="356">
        <f t="shared" si="58"/>
        <v>3</v>
      </c>
      <c r="AI49" s="356">
        <f t="shared" si="58"/>
        <v>54758</v>
      </c>
      <c r="AJ49" s="356">
        <f t="shared" si="58"/>
        <v>1</v>
      </c>
      <c r="AK49" s="356">
        <f t="shared" si="58"/>
        <v>57099</v>
      </c>
      <c r="AL49" s="356">
        <f t="shared" si="58"/>
        <v>3</v>
      </c>
      <c r="AM49" s="356">
        <f t="shared" si="58"/>
        <v>57510</v>
      </c>
      <c r="AN49" s="356">
        <f t="shared" si="58"/>
        <v>0</v>
      </c>
      <c r="AO49" s="356">
        <f t="shared" si="58"/>
        <v>54755</v>
      </c>
      <c r="AP49" s="356">
        <f t="shared" si="58"/>
        <v>1</v>
      </c>
      <c r="AQ49" s="356">
        <f t="shared" si="58"/>
        <v>54756</v>
      </c>
    </row>
    <row r="50" spans="1:43" s="216" customFormat="1" ht="30" hidden="1">
      <c r="A50" s="597" t="s">
        <v>149</v>
      </c>
      <c r="B50" s="364"/>
      <c r="C50" s="364"/>
      <c r="D50" s="364"/>
      <c r="E50" s="364"/>
      <c r="F50" s="364"/>
      <c r="G50" s="364"/>
      <c r="H50" s="364"/>
      <c r="I50" s="364"/>
      <c r="J50" s="364"/>
      <c r="K50" s="364"/>
      <c r="L50" s="364"/>
      <c r="M50" s="364"/>
      <c r="N50" s="364"/>
      <c r="O50" s="364"/>
      <c r="P50" s="364"/>
      <c r="Q50" s="364">
        <v>2540</v>
      </c>
      <c r="R50" s="364"/>
      <c r="S50" s="364"/>
      <c r="T50" s="364"/>
      <c r="U50" s="364">
        <f>SUM(Q50:R50)</f>
        <v>2540</v>
      </c>
      <c r="V50" s="364"/>
      <c r="W50" s="364"/>
      <c r="X50" s="364"/>
      <c r="Y50" s="364"/>
      <c r="Z50" s="364">
        <f>SUM(U50:V50)</f>
        <v>2540</v>
      </c>
      <c r="AA50" s="364"/>
      <c r="AB50" s="364">
        <f>SUM(Z50:AA50)</f>
        <v>2540</v>
      </c>
      <c r="AC50" s="364"/>
      <c r="AD50" s="364">
        <v>2540</v>
      </c>
      <c r="AE50" s="364"/>
      <c r="AF50" s="364">
        <v>1679</v>
      </c>
      <c r="AG50" s="361">
        <f t="shared" ref="AG50:AG71" si="59">B50+H50+Q50</f>
        <v>2540</v>
      </c>
      <c r="AH50" s="361">
        <f t="shared" ref="AH50:AH71" si="60">C50+I50+R50</f>
        <v>0</v>
      </c>
      <c r="AI50" s="361">
        <f t="shared" ref="AI50:AI71" si="61">D50+L50+U50</f>
        <v>2540</v>
      </c>
      <c r="AJ50" s="361">
        <f t="shared" ref="AJ50:AJ71" si="62">E50+M50+V50</f>
        <v>0</v>
      </c>
      <c r="AK50" s="361">
        <f t="shared" ref="AK50:AK71" si="63">F50+P50+Z50</f>
        <v>2540</v>
      </c>
      <c r="AL50" s="361">
        <f t="shared" ref="AL50:AL71" si="64">J50+S50+AA50</f>
        <v>0</v>
      </c>
      <c r="AM50" s="361">
        <f t="shared" ref="AM50:AM71" si="65">F50+T50+AD50</f>
        <v>2540</v>
      </c>
      <c r="AN50" s="361"/>
      <c r="AO50" s="361">
        <f t="shared" ref="AO50:AO71" si="66">G50+X50+AF50</f>
        <v>1679</v>
      </c>
      <c r="AP50" s="361">
        <f t="shared" ref="AP50" si="67">W50+AE50+AN50</f>
        <v>0</v>
      </c>
      <c r="AQ50" s="361">
        <f>SUM(AO50:AP50)</f>
        <v>1679</v>
      </c>
    </row>
    <row r="51" spans="1:43" s="216" customFormat="1" ht="30" hidden="1">
      <c r="A51" s="597" t="s">
        <v>150</v>
      </c>
      <c r="B51" s="364"/>
      <c r="C51" s="364"/>
      <c r="D51" s="364"/>
      <c r="E51" s="364"/>
      <c r="F51" s="364"/>
      <c r="G51" s="364"/>
      <c r="H51" s="364"/>
      <c r="I51" s="364"/>
      <c r="J51" s="364"/>
      <c r="K51" s="364"/>
      <c r="L51" s="364"/>
      <c r="M51" s="364"/>
      <c r="N51" s="364"/>
      <c r="O51" s="364"/>
      <c r="P51" s="364"/>
      <c r="Q51" s="364">
        <v>1500</v>
      </c>
      <c r="R51" s="364"/>
      <c r="S51" s="364"/>
      <c r="T51" s="364"/>
      <c r="U51" s="364">
        <f t="shared" ref="U51:U63" si="68">SUM(Q51:R51)</f>
        <v>1500</v>
      </c>
      <c r="V51" s="364"/>
      <c r="W51" s="364"/>
      <c r="X51" s="364"/>
      <c r="Y51" s="364"/>
      <c r="Z51" s="364">
        <f t="shared" ref="Z51:Z63" si="69">SUM(U51:V51)</f>
        <v>1500</v>
      </c>
      <c r="AA51" s="364"/>
      <c r="AB51" s="364">
        <f t="shared" ref="AB51:AB63" si="70">SUM(Z51:AA51)</f>
        <v>1500</v>
      </c>
      <c r="AC51" s="364"/>
      <c r="AD51" s="364">
        <v>1500</v>
      </c>
      <c r="AE51" s="364"/>
      <c r="AF51" s="364">
        <v>1500</v>
      </c>
      <c r="AG51" s="361">
        <f t="shared" si="59"/>
        <v>1500</v>
      </c>
      <c r="AH51" s="361">
        <f t="shared" si="60"/>
        <v>0</v>
      </c>
      <c r="AI51" s="361">
        <f t="shared" si="61"/>
        <v>1500</v>
      </c>
      <c r="AJ51" s="361">
        <f t="shared" si="62"/>
        <v>0</v>
      </c>
      <c r="AK51" s="361">
        <f t="shared" si="63"/>
        <v>1500</v>
      </c>
      <c r="AL51" s="361">
        <f t="shared" si="64"/>
        <v>0</v>
      </c>
      <c r="AM51" s="361">
        <f t="shared" si="65"/>
        <v>1500</v>
      </c>
      <c r="AN51" s="361"/>
      <c r="AO51" s="361">
        <f t="shared" si="66"/>
        <v>1500</v>
      </c>
      <c r="AP51" s="361">
        <f t="shared" ref="AP51:AP63" si="71">W51+AE51+AN51</f>
        <v>0</v>
      </c>
      <c r="AQ51" s="361">
        <f t="shared" ref="AQ51:AQ63" si="72">SUM(AO51:AP51)</f>
        <v>1500</v>
      </c>
    </row>
    <row r="52" spans="1:43" s="216" customFormat="1" ht="15" hidden="1">
      <c r="A52" s="600" t="s">
        <v>151</v>
      </c>
      <c r="B52" s="364"/>
      <c r="C52" s="364"/>
      <c r="D52" s="364"/>
      <c r="E52" s="364"/>
      <c r="F52" s="364"/>
      <c r="G52" s="364"/>
      <c r="H52" s="364"/>
      <c r="I52" s="364"/>
      <c r="J52" s="364"/>
      <c r="K52" s="364"/>
      <c r="L52" s="364"/>
      <c r="M52" s="364"/>
      <c r="N52" s="364"/>
      <c r="O52" s="364"/>
      <c r="P52" s="364"/>
      <c r="Q52" s="364">
        <v>5000</v>
      </c>
      <c r="R52" s="364"/>
      <c r="S52" s="364"/>
      <c r="T52" s="364"/>
      <c r="U52" s="364">
        <f t="shared" si="68"/>
        <v>5000</v>
      </c>
      <c r="V52" s="364"/>
      <c r="W52" s="364"/>
      <c r="X52" s="364"/>
      <c r="Y52" s="364"/>
      <c r="Z52" s="364">
        <f t="shared" si="69"/>
        <v>5000</v>
      </c>
      <c r="AA52" s="364"/>
      <c r="AB52" s="364">
        <f t="shared" si="70"/>
        <v>5000</v>
      </c>
      <c r="AC52" s="364"/>
      <c r="AD52" s="364">
        <v>5000</v>
      </c>
      <c r="AE52" s="364"/>
      <c r="AF52" s="364">
        <v>5000</v>
      </c>
      <c r="AG52" s="361">
        <f t="shared" si="59"/>
        <v>5000</v>
      </c>
      <c r="AH52" s="361">
        <f t="shared" si="60"/>
        <v>0</v>
      </c>
      <c r="AI52" s="361">
        <f t="shared" si="61"/>
        <v>5000</v>
      </c>
      <c r="AJ52" s="361">
        <f t="shared" si="62"/>
        <v>0</v>
      </c>
      <c r="AK52" s="361">
        <f t="shared" si="63"/>
        <v>5000</v>
      </c>
      <c r="AL52" s="361">
        <f t="shared" si="64"/>
        <v>0</v>
      </c>
      <c r="AM52" s="361">
        <f t="shared" si="65"/>
        <v>5000</v>
      </c>
      <c r="AN52" s="361"/>
      <c r="AO52" s="361">
        <f t="shared" si="66"/>
        <v>5000</v>
      </c>
      <c r="AP52" s="361">
        <f t="shared" si="71"/>
        <v>0</v>
      </c>
      <c r="AQ52" s="361">
        <f t="shared" si="72"/>
        <v>5000</v>
      </c>
    </row>
    <row r="53" spans="1:43" s="216" customFormat="1" ht="15" hidden="1" customHeight="1">
      <c r="A53" s="600" t="s">
        <v>152</v>
      </c>
      <c r="B53" s="364"/>
      <c r="C53" s="364"/>
      <c r="D53" s="364"/>
      <c r="E53" s="364"/>
      <c r="F53" s="364"/>
      <c r="G53" s="364"/>
      <c r="H53" s="364"/>
      <c r="I53" s="364"/>
      <c r="J53" s="364"/>
      <c r="K53" s="364"/>
      <c r="L53" s="364"/>
      <c r="M53" s="364"/>
      <c r="N53" s="364"/>
      <c r="O53" s="364"/>
      <c r="P53" s="364"/>
      <c r="Q53" s="364">
        <v>10000</v>
      </c>
      <c r="R53" s="364"/>
      <c r="S53" s="364"/>
      <c r="T53" s="364"/>
      <c r="U53" s="364">
        <f t="shared" si="68"/>
        <v>10000</v>
      </c>
      <c r="V53" s="364"/>
      <c r="W53" s="364"/>
      <c r="X53" s="364"/>
      <c r="Y53" s="364"/>
      <c r="Z53" s="364">
        <f t="shared" si="69"/>
        <v>10000</v>
      </c>
      <c r="AA53" s="364"/>
      <c r="AB53" s="364">
        <f t="shared" si="70"/>
        <v>10000</v>
      </c>
      <c r="AC53" s="364"/>
      <c r="AD53" s="364">
        <v>10000</v>
      </c>
      <c r="AE53" s="364"/>
      <c r="AF53" s="364">
        <v>10000</v>
      </c>
      <c r="AG53" s="361">
        <f t="shared" si="59"/>
        <v>10000</v>
      </c>
      <c r="AH53" s="361">
        <f t="shared" si="60"/>
        <v>0</v>
      </c>
      <c r="AI53" s="361">
        <f t="shared" si="61"/>
        <v>10000</v>
      </c>
      <c r="AJ53" s="361">
        <f t="shared" si="62"/>
        <v>0</v>
      </c>
      <c r="AK53" s="361">
        <f t="shared" si="63"/>
        <v>10000</v>
      </c>
      <c r="AL53" s="361">
        <f t="shared" si="64"/>
        <v>0</v>
      </c>
      <c r="AM53" s="361">
        <f t="shared" si="65"/>
        <v>10000</v>
      </c>
      <c r="AN53" s="361"/>
      <c r="AO53" s="361">
        <f t="shared" si="66"/>
        <v>10000</v>
      </c>
      <c r="AP53" s="361">
        <f t="shared" si="71"/>
        <v>0</v>
      </c>
      <c r="AQ53" s="361">
        <f t="shared" si="72"/>
        <v>10000</v>
      </c>
    </row>
    <row r="54" spans="1:43" s="216" customFormat="1" ht="15" hidden="1" customHeight="1">
      <c r="A54" s="597" t="s">
        <v>153</v>
      </c>
      <c r="B54" s="364"/>
      <c r="C54" s="364"/>
      <c r="D54" s="364"/>
      <c r="E54" s="364"/>
      <c r="F54" s="364"/>
      <c r="G54" s="364"/>
      <c r="H54" s="364"/>
      <c r="I54" s="364"/>
      <c r="J54" s="364"/>
      <c r="K54" s="364"/>
      <c r="L54" s="364"/>
      <c r="M54" s="364"/>
      <c r="N54" s="364"/>
      <c r="O54" s="364"/>
      <c r="P54" s="364"/>
      <c r="Q54" s="364">
        <v>500</v>
      </c>
      <c r="R54" s="364"/>
      <c r="S54" s="364"/>
      <c r="T54" s="364"/>
      <c r="U54" s="364">
        <f t="shared" si="68"/>
        <v>500</v>
      </c>
      <c r="V54" s="364"/>
      <c r="W54" s="364"/>
      <c r="X54" s="364"/>
      <c r="Y54" s="364"/>
      <c r="Z54" s="364">
        <f t="shared" si="69"/>
        <v>500</v>
      </c>
      <c r="AA54" s="364"/>
      <c r="AB54" s="364">
        <f t="shared" si="70"/>
        <v>500</v>
      </c>
      <c r="AC54" s="364"/>
      <c r="AD54" s="364">
        <v>500</v>
      </c>
      <c r="AE54" s="364"/>
      <c r="AF54" s="364">
        <v>500</v>
      </c>
      <c r="AG54" s="361">
        <f t="shared" si="59"/>
        <v>500</v>
      </c>
      <c r="AH54" s="361">
        <f t="shared" si="60"/>
        <v>0</v>
      </c>
      <c r="AI54" s="361">
        <f t="shared" si="61"/>
        <v>500</v>
      </c>
      <c r="AJ54" s="361">
        <f t="shared" si="62"/>
        <v>0</v>
      </c>
      <c r="AK54" s="361">
        <f t="shared" si="63"/>
        <v>500</v>
      </c>
      <c r="AL54" s="361">
        <f t="shared" si="64"/>
        <v>0</v>
      </c>
      <c r="AM54" s="361">
        <f t="shared" si="65"/>
        <v>500</v>
      </c>
      <c r="AN54" s="361"/>
      <c r="AO54" s="361">
        <f t="shared" si="66"/>
        <v>500</v>
      </c>
      <c r="AP54" s="361">
        <f t="shared" si="71"/>
        <v>0</v>
      </c>
      <c r="AQ54" s="361">
        <f t="shared" si="72"/>
        <v>500</v>
      </c>
    </row>
    <row r="55" spans="1:43" s="216" customFormat="1" ht="15" hidden="1" customHeight="1">
      <c r="A55" s="597" t="s">
        <v>154</v>
      </c>
      <c r="B55" s="364">
        <v>1837</v>
      </c>
      <c r="C55" s="364">
        <v>3</v>
      </c>
      <c r="D55" s="364">
        <f>SUM(B55:C55)</f>
        <v>1840</v>
      </c>
      <c r="E55" s="364">
        <v>1</v>
      </c>
      <c r="F55" s="364">
        <v>1851</v>
      </c>
      <c r="G55" s="364">
        <v>1980</v>
      </c>
      <c r="H55" s="364">
        <v>367</v>
      </c>
      <c r="I55" s="364"/>
      <c r="J55" s="364">
        <v>2</v>
      </c>
      <c r="K55" s="364">
        <v>1850</v>
      </c>
      <c r="L55" s="364">
        <f>SUM(H55:I55)</f>
        <v>367</v>
      </c>
      <c r="M55" s="364"/>
      <c r="N55" s="364">
        <v>1</v>
      </c>
      <c r="O55" s="364">
        <f t="shared" ref="O55" si="73">K55+N55</f>
        <v>1851</v>
      </c>
      <c r="P55" s="364">
        <f>SUM(L55:M55)</f>
        <v>367</v>
      </c>
      <c r="Q55" s="364"/>
      <c r="R55" s="364"/>
      <c r="S55" s="364">
        <v>1</v>
      </c>
      <c r="T55" s="364">
        <v>369</v>
      </c>
      <c r="U55" s="364">
        <f t="shared" si="68"/>
        <v>0</v>
      </c>
      <c r="V55" s="364"/>
      <c r="W55" s="364">
        <v>1</v>
      </c>
      <c r="X55" s="364">
        <v>355</v>
      </c>
      <c r="Y55" s="364">
        <f t="shared" ref="Y55:Y61" si="74">T55+X55</f>
        <v>724</v>
      </c>
      <c r="Z55" s="364">
        <f t="shared" si="69"/>
        <v>0</v>
      </c>
      <c r="AA55" s="364"/>
      <c r="AB55" s="364">
        <f t="shared" si="70"/>
        <v>0</v>
      </c>
      <c r="AC55" s="364"/>
      <c r="AD55" s="364">
        <v>0</v>
      </c>
      <c r="AE55" s="364"/>
      <c r="AF55" s="364"/>
      <c r="AG55" s="361">
        <f t="shared" si="59"/>
        <v>2204</v>
      </c>
      <c r="AH55" s="361">
        <f t="shared" si="60"/>
        <v>3</v>
      </c>
      <c r="AI55" s="361">
        <f t="shared" si="61"/>
        <v>2207</v>
      </c>
      <c r="AJ55" s="361">
        <f t="shared" si="62"/>
        <v>1</v>
      </c>
      <c r="AK55" s="361">
        <f t="shared" si="63"/>
        <v>2218</v>
      </c>
      <c r="AL55" s="361">
        <f t="shared" si="64"/>
        <v>3</v>
      </c>
      <c r="AM55" s="361">
        <f t="shared" si="65"/>
        <v>2220</v>
      </c>
      <c r="AN55" s="361"/>
      <c r="AO55" s="361">
        <f t="shared" si="66"/>
        <v>2335</v>
      </c>
      <c r="AP55" s="361">
        <f t="shared" si="71"/>
        <v>1</v>
      </c>
      <c r="AQ55" s="361">
        <f t="shared" si="72"/>
        <v>2336</v>
      </c>
    </row>
    <row r="56" spans="1:43" s="216" customFormat="1" ht="15" hidden="1" customHeight="1">
      <c r="A56" s="600" t="s">
        <v>155</v>
      </c>
      <c r="B56" s="364"/>
      <c r="C56" s="364"/>
      <c r="D56" s="364"/>
      <c r="E56" s="364"/>
      <c r="F56" s="364"/>
      <c r="G56" s="364"/>
      <c r="H56" s="364"/>
      <c r="I56" s="364"/>
      <c r="J56" s="364"/>
      <c r="K56" s="364"/>
      <c r="L56" s="364"/>
      <c r="M56" s="364"/>
      <c r="N56" s="364"/>
      <c r="O56" s="364"/>
      <c r="P56" s="364"/>
      <c r="Q56" s="364">
        <v>6700</v>
      </c>
      <c r="R56" s="364"/>
      <c r="S56" s="364"/>
      <c r="T56" s="364"/>
      <c r="U56" s="364">
        <f t="shared" si="68"/>
        <v>6700</v>
      </c>
      <c r="V56" s="364"/>
      <c r="W56" s="364"/>
      <c r="X56" s="364"/>
      <c r="Y56" s="364"/>
      <c r="Z56" s="364">
        <f t="shared" si="69"/>
        <v>6700</v>
      </c>
      <c r="AA56" s="364"/>
      <c r="AB56" s="364">
        <f t="shared" si="70"/>
        <v>6700</v>
      </c>
      <c r="AC56" s="364"/>
      <c r="AD56" s="364">
        <v>6700</v>
      </c>
      <c r="AE56" s="364"/>
      <c r="AF56" s="364">
        <v>6700</v>
      </c>
      <c r="AG56" s="361">
        <f t="shared" si="59"/>
        <v>6700</v>
      </c>
      <c r="AH56" s="361">
        <f t="shared" si="60"/>
        <v>0</v>
      </c>
      <c r="AI56" s="361">
        <f t="shared" si="61"/>
        <v>6700</v>
      </c>
      <c r="AJ56" s="361">
        <f t="shared" si="62"/>
        <v>0</v>
      </c>
      <c r="AK56" s="361">
        <f t="shared" si="63"/>
        <v>6700</v>
      </c>
      <c r="AL56" s="361">
        <f t="shared" si="64"/>
        <v>0</v>
      </c>
      <c r="AM56" s="361">
        <f t="shared" si="65"/>
        <v>6700</v>
      </c>
      <c r="AN56" s="361"/>
      <c r="AO56" s="361">
        <f t="shared" si="66"/>
        <v>6700</v>
      </c>
      <c r="AP56" s="361">
        <f t="shared" si="71"/>
        <v>0</v>
      </c>
      <c r="AQ56" s="361">
        <f t="shared" si="72"/>
        <v>6700</v>
      </c>
    </row>
    <row r="57" spans="1:43" s="216" customFormat="1" ht="15" hidden="1" customHeight="1">
      <c r="A57" s="600" t="s">
        <v>156</v>
      </c>
      <c r="B57" s="364"/>
      <c r="C57" s="364"/>
      <c r="D57" s="364"/>
      <c r="E57" s="364"/>
      <c r="F57" s="364"/>
      <c r="G57" s="364"/>
      <c r="H57" s="364"/>
      <c r="I57" s="364"/>
      <c r="J57" s="364"/>
      <c r="K57" s="364"/>
      <c r="L57" s="364"/>
      <c r="M57" s="364"/>
      <c r="N57" s="364"/>
      <c r="O57" s="364"/>
      <c r="P57" s="364"/>
      <c r="Q57" s="364">
        <f>18000-9000</f>
        <v>9000</v>
      </c>
      <c r="R57" s="364"/>
      <c r="S57" s="364"/>
      <c r="T57" s="364"/>
      <c r="U57" s="364">
        <f t="shared" si="68"/>
        <v>9000</v>
      </c>
      <c r="V57" s="364"/>
      <c r="W57" s="364"/>
      <c r="X57" s="364"/>
      <c r="Y57" s="364"/>
      <c r="Z57" s="364">
        <f t="shared" si="69"/>
        <v>9000</v>
      </c>
      <c r="AA57" s="364"/>
      <c r="AB57" s="364">
        <f t="shared" si="70"/>
        <v>9000</v>
      </c>
      <c r="AC57" s="364"/>
      <c r="AD57" s="364">
        <v>9000</v>
      </c>
      <c r="AE57" s="364"/>
      <c r="AF57" s="364">
        <v>9000</v>
      </c>
      <c r="AG57" s="361">
        <f t="shared" si="59"/>
        <v>9000</v>
      </c>
      <c r="AH57" s="361">
        <f t="shared" si="60"/>
        <v>0</v>
      </c>
      <c r="AI57" s="361">
        <f t="shared" si="61"/>
        <v>9000</v>
      </c>
      <c r="AJ57" s="361">
        <f t="shared" si="62"/>
        <v>0</v>
      </c>
      <c r="AK57" s="361">
        <f t="shared" si="63"/>
        <v>9000</v>
      </c>
      <c r="AL57" s="361">
        <f t="shared" si="64"/>
        <v>0</v>
      </c>
      <c r="AM57" s="361">
        <f t="shared" si="65"/>
        <v>9000</v>
      </c>
      <c r="AN57" s="361"/>
      <c r="AO57" s="361">
        <f t="shared" si="66"/>
        <v>9000</v>
      </c>
      <c r="AP57" s="361">
        <f t="shared" si="71"/>
        <v>0</v>
      </c>
      <c r="AQ57" s="361">
        <f t="shared" si="72"/>
        <v>9000</v>
      </c>
    </row>
    <row r="58" spans="1:43" s="216" customFormat="1" ht="15" hidden="1" customHeight="1">
      <c r="A58" s="600" t="s">
        <v>157</v>
      </c>
      <c r="B58" s="364"/>
      <c r="C58" s="364"/>
      <c r="D58" s="364"/>
      <c r="E58" s="364"/>
      <c r="F58" s="364"/>
      <c r="G58" s="364"/>
      <c r="H58" s="364"/>
      <c r="I58" s="364"/>
      <c r="J58" s="364"/>
      <c r="K58" s="364"/>
      <c r="L58" s="364"/>
      <c r="M58" s="364"/>
      <c r="N58" s="364"/>
      <c r="O58" s="364"/>
      <c r="P58" s="364"/>
      <c r="Q58" s="364">
        <v>1270</v>
      </c>
      <c r="R58" s="364"/>
      <c r="S58" s="364"/>
      <c r="T58" s="364"/>
      <c r="U58" s="364">
        <f t="shared" si="68"/>
        <v>1270</v>
      </c>
      <c r="V58" s="364"/>
      <c r="W58" s="364"/>
      <c r="X58" s="364"/>
      <c r="Y58" s="364"/>
      <c r="Z58" s="364">
        <f t="shared" si="69"/>
        <v>1270</v>
      </c>
      <c r="AA58" s="364"/>
      <c r="AB58" s="364">
        <f t="shared" si="70"/>
        <v>1270</v>
      </c>
      <c r="AC58" s="364"/>
      <c r="AD58" s="364">
        <v>1270</v>
      </c>
      <c r="AE58" s="364"/>
      <c r="AF58" s="364">
        <v>2000</v>
      </c>
      <c r="AG58" s="361">
        <f t="shared" si="59"/>
        <v>1270</v>
      </c>
      <c r="AH58" s="361">
        <f t="shared" si="60"/>
        <v>0</v>
      </c>
      <c r="AI58" s="361">
        <f t="shared" si="61"/>
        <v>1270</v>
      </c>
      <c r="AJ58" s="361">
        <f t="shared" si="62"/>
        <v>0</v>
      </c>
      <c r="AK58" s="361">
        <f t="shared" si="63"/>
        <v>1270</v>
      </c>
      <c r="AL58" s="361">
        <f t="shared" si="64"/>
        <v>0</v>
      </c>
      <c r="AM58" s="361">
        <f t="shared" si="65"/>
        <v>1270</v>
      </c>
      <c r="AN58" s="361"/>
      <c r="AO58" s="361">
        <f t="shared" si="66"/>
        <v>2000</v>
      </c>
      <c r="AP58" s="361">
        <f t="shared" si="71"/>
        <v>0</v>
      </c>
      <c r="AQ58" s="361">
        <f t="shared" si="72"/>
        <v>2000</v>
      </c>
    </row>
    <row r="59" spans="1:43" s="216" customFormat="1" ht="30" hidden="1">
      <c r="A59" s="600" t="s">
        <v>158</v>
      </c>
      <c r="B59" s="364"/>
      <c r="C59" s="364"/>
      <c r="D59" s="364"/>
      <c r="E59" s="364"/>
      <c r="F59" s="364"/>
      <c r="G59" s="364"/>
      <c r="H59" s="364"/>
      <c r="I59" s="364"/>
      <c r="J59" s="364"/>
      <c r="K59" s="364"/>
      <c r="L59" s="364"/>
      <c r="M59" s="364"/>
      <c r="N59" s="364"/>
      <c r="O59" s="364"/>
      <c r="P59" s="364"/>
      <c r="Q59" s="364">
        <v>1000</v>
      </c>
      <c r="R59" s="364"/>
      <c r="S59" s="364"/>
      <c r="T59" s="364"/>
      <c r="U59" s="364">
        <f t="shared" si="68"/>
        <v>1000</v>
      </c>
      <c r="V59" s="364"/>
      <c r="W59" s="364"/>
      <c r="X59" s="364"/>
      <c r="Y59" s="364"/>
      <c r="Z59" s="364">
        <f t="shared" si="69"/>
        <v>1000</v>
      </c>
      <c r="AA59" s="364"/>
      <c r="AB59" s="364">
        <f t="shared" si="70"/>
        <v>1000</v>
      </c>
      <c r="AC59" s="364"/>
      <c r="AD59" s="364">
        <v>1000</v>
      </c>
      <c r="AE59" s="364"/>
      <c r="AF59" s="364">
        <v>1000</v>
      </c>
      <c r="AG59" s="361">
        <f t="shared" si="59"/>
        <v>1000</v>
      </c>
      <c r="AH59" s="361">
        <f t="shared" si="60"/>
        <v>0</v>
      </c>
      <c r="AI59" s="361">
        <f t="shared" si="61"/>
        <v>1000</v>
      </c>
      <c r="AJ59" s="361">
        <f t="shared" si="62"/>
        <v>0</v>
      </c>
      <c r="AK59" s="361">
        <f t="shared" si="63"/>
        <v>1000</v>
      </c>
      <c r="AL59" s="361">
        <f t="shared" si="64"/>
        <v>0</v>
      </c>
      <c r="AM59" s="361">
        <f t="shared" si="65"/>
        <v>1000</v>
      </c>
      <c r="AN59" s="361"/>
      <c r="AO59" s="361">
        <f t="shared" si="66"/>
        <v>1000</v>
      </c>
      <c r="AP59" s="361">
        <f t="shared" si="71"/>
        <v>0</v>
      </c>
      <c r="AQ59" s="361">
        <f t="shared" si="72"/>
        <v>1000</v>
      </c>
    </row>
    <row r="60" spans="1:43" s="216" customFormat="1" ht="15" hidden="1" customHeight="1">
      <c r="A60" s="600" t="s">
        <v>159</v>
      </c>
      <c r="B60" s="364"/>
      <c r="C60" s="364"/>
      <c r="D60" s="364"/>
      <c r="E60" s="364"/>
      <c r="F60" s="364"/>
      <c r="G60" s="364"/>
      <c r="H60" s="364"/>
      <c r="I60" s="364"/>
      <c r="J60" s="364"/>
      <c r="K60" s="364"/>
      <c r="L60" s="364"/>
      <c r="M60" s="364"/>
      <c r="N60" s="364"/>
      <c r="O60" s="364"/>
      <c r="P60" s="364"/>
      <c r="Q60" s="364">
        <v>3810</v>
      </c>
      <c r="R60" s="364"/>
      <c r="S60" s="364"/>
      <c r="T60" s="364"/>
      <c r="U60" s="364">
        <f t="shared" si="68"/>
        <v>3810</v>
      </c>
      <c r="V60" s="364"/>
      <c r="W60" s="364"/>
      <c r="X60" s="364"/>
      <c r="Y60" s="364"/>
      <c r="Z60" s="364">
        <f t="shared" si="69"/>
        <v>3810</v>
      </c>
      <c r="AA60" s="364"/>
      <c r="AB60" s="364">
        <f t="shared" si="70"/>
        <v>3810</v>
      </c>
      <c r="AC60" s="364"/>
      <c r="AD60" s="364">
        <v>3810</v>
      </c>
      <c r="AE60" s="364"/>
      <c r="AF60" s="364">
        <v>3810</v>
      </c>
      <c r="AG60" s="361">
        <f t="shared" si="59"/>
        <v>3810</v>
      </c>
      <c r="AH60" s="361">
        <f t="shared" si="60"/>
        <v>0</v>
      </c>
      <c r="AI60" s="361">
        <f t="shared" si="61"/>
        <v>3810</v>
      </c>
      <c r="AJ60" s="361">
        <f t="shared" si="62"/>
        <v>0</v>
      </c>
      <c r="AK60" s="361">
        <f t="shared" si="63"/>
        <v>3810</v>
      </c>
      <c r="AL60" s="361">
        <f t="shared" si="64"/>
        <v>0</v>
      </c>
      <c r="AM60" s="361">
        <f t="shared" si="65"/>
        <v>3810</v>
      </c>
      <c r="AN60" s="361"/>
      <c r="AO60" s="361">
        <f t="shared" si="66"/>
        <v>3810</v>
      </c>
      <c r="AP60" s="361">
        <f t="shared" si="71"/>
        <v>0</v>
      </c>
      <c r="AQ60" s="361">
        <f t="shared" si="72"/>
        <v>3810</v>
      </c>
    </row>
    <row r="61" spans="1:43" s="216" customFormat="1" ht="30" hidden="1">
      <c r="A61" s="600" t="s">
        <v>160</v>
      </c>
      <c r="B61" s="364"/>
      <c r="C61" s="364"/>
      <c r="D61" s="364"/>
      <c r="E61" s="364"/>
      <c r="F61" s="364">
        <v>2330</v>
      </c>
      <c r="G61" s="364"/>
      <c r="H61" s="364"/>
      <c r="I61" s="364"/>
      <c r="J61" s="364"/>
      <c r="K61" s="364">
        <v>2330</v>
      </c>
      <c r="L61" s="364"/>
      <c r="M61" s="364"/>
      <c r="N61" s="364"/>
      <c r="O61" s="364">
        <f>SUM(K61:N61)</f>
        <v>2330</v>
      </c>
      <c r="P61" s="364"/>
      <c r="Q61" s="364">
        <v>2750</v>
      </c>
      <c r="R61" s="364"/>
      <c r="S61" s="364"/>
      <c r="T61" s="364">
        <v>409</v>
      </c>
      <c r="U61" s="364">
        <f t="shared" si="68"/>
        <v>2750</v>
      </c>
      <c r="V61" s="364"/>
      <c r="W61" s="364"/>
      <c r="X61" s="364"/>
      <c r="Y61" s="364">
        <f t="shared" si="74"/>
        <v>409</v>
      </c>
      <c r="Z61" s="364">
        <f t="shared" si="69"/>
        <v>2750</v>
      </c>
      <c r="AA61" s="364"/>
      <c r="AB61" s="364">
        <f t="shared" si="70"/>
        <v>2750</v>
      </c>
      <c r="AC61" s="364"/>
      <c r="AD61" s="364">
        <v>2750</v>
      </c>
      <c r="AE61" s="364"/>
      <c r="AF61" s="364">
        <v>2750</v>
      </c>
      <c r="AG61" s="361">
        <f t="shared" si="59"/>
        <v>2750</v>
      </c>
      <c r="AH61" s="361">
        <f t="shared" si="60"/>
        <v>0</v>
      </c>
      <c r="AI61" s="361">
        <f t="shared" si="61"/>
        <v>2750</v>
      </c>
      <c r="AJ61" s="361">
        <f t="shared" si="62"/>
        <v>0</v>
      </c>
      <c r="AK61" s="361">
        <f t="shared" si="63"/>
        <v>5080</v>
      </c>
      <c r="AL61" s="361">
        <f t="shared" si="64"/>
        <v>0</v>
      </c>
      <c r="AM61" s="361">
        <f t="shared" si="65"/>
        <v>5489</v>
      </c>
      <c r="AN61" s="361"/>
      <c r="AO61" s="361">
        <f t="shared" si="66"/>
        <v>2750</v>
      </c>
      <c r="AP61" s="361">
        <f t="shared" si="71"/>
        <v>0</v>
      </c>
      <c r="AQ61" s="361">
        <f t="shared" si="72"/>
        <v>2750</v>
      </c>
    </row>
    <row r="62" spans="1:43" s="216" customFormat="1" ht="15" hidden="1" customHeight="1">
      <c r="A62" s="600" t="s">
        <v>161</v>
      </c>
      <c r="B62" s="364"/>
      <c r="C62" s="364"/>
      <c r="D62" s="364"/>
      <c r="E62" s="364"/>
      <c r="F62" s="364"/>
      <c r="G62" s="364"/>
      <c r="H62" s="364"/>
      <c r="I62" s="364"/>
      <c r="J62" s="364"/>
      <c r="K62" s="364"/>
      <c r="L62" s="364"/>
      <c r="M62" s="364"/>
      <c r="N62" s="364"/>
      <c r="O62" s="364"/>
      <c r="P62" s="364"/>
      <c r="Q62" s="364">
        <v>481</v>
      </c>
      <c r="R62" s="364"/>
      <c r="S62" s="364"/>
      <c r="T62" s="364"/>
      <c r="U62" s="364">
        <f t="shared" si="68"/>
        <v>481</v>
      </c>
      <c r="V62" s="364"/>
      <c r="W62" s="364"/>
      <c r="X62" s="364"/>
      <c r="Y62" s="364"/>
      <c r="Z62" s="364">
        <f t="shared" si="69"/>
        <v>481</v>
      </c>
      <c r="AA62" s="364"/>
      <c r="AB62" s="364">
        <f t="shared" si="70"/>
        <v>481</v>
      </c>
      <c r="AC62" s="364"/>
      <c r="AD62" s="364">
        <v>481</v>
      </c>
      <c r="AE62" s="364"/>
      <c r="AF62" s="364">
        <v>481</v>
      </c>
      <c r="AG62" s="361">
        <f t="shared" si="59"/>
        <v>481</v>
      </c>
      <c r="AH62" s="361">
        <f t="shared" si="60"/>
        <v>0</v>
      </c>
      <c r="AI62" s="361">
        <f t="shared" si="61"/>
        <v>481</v>
      </c>
      <c r="AJ62" s="361">
        <f t="shared" si="62"/>
        <v>0</v>
      </c>
      <c r="AK62" s="361">
        <f t="shared" si="63"/>
        <v>481</v>
      </c>
      <c r="AL62" s="361">
        <f t="shared" si="64"/>
        <v>0</v>
      </c>
      <c r="AM62" s="361">
        <f t="shared" si="65"/>
        <v>481</v>
      </c>
      <c r="AN62" s="361"/>
      <c r="AO62" s="361">
        <f t="shared" si="66"/>
        <v>481</v>
      </c>
      <c r="AP62" s="361">
        <f t="shared" si="71"/>
        <v>0</v>
      </c>
      <c r="AQ62" s="361">
        <f t="shared" si="72"/>
        <v>481</v>
      </c>
    </row>
    <row r="63" spans="1:43" s="216" customFormat="1" ht="15" hidden="1" customHeight="1">
      <c r="A63" s="600" t="s">
        <v>162</v>
      </c>
      <c r="B63" s="364"/>
      <c r="C63" s="364"/>
      <c r="D63" s="364"/>
      <c r="E63" s="364"/>
      <c r="F63" s="364"/>
      <c r="G63" s="364"/>
      <c r="H63" s="364"/>
      <c r="I63" s="364"/>
      <c r="J63" s="364"/>
      <c r="K63" s="364"/>
      <c r="L63" s="364"/>
      <c r="M63" s="364"/>
      <c r="N63" s="364"/>
      <c r="O63" s="364"/>
      <c r="P63" s="364"/>
      <c r="Q63" s="364">
        <v>8000</v>
      </c>
      <c r="R63" s="364"/>
      <c r="S63" s="364"/>
      <c r="T63" s="364"/>
      <c r="U63" s="364">
        <f t="shared" si="68"/>
        <v>8000</v>
      </c>
      <c r="V63" s="364"/>
      <c r="W63" s="364"/>
      <c r="X63" s="364"/>
      <c r="Y63" s="364"/>
      <c r="Z63" s="364">
        <f t="shared" si="69"/>
        <v>8000</v>
      </c>
      <c r="AA63" s="364"/>
      <c r="AB63" s="364">
        <f t="shared" si="70"/>
        <v>8000</v>
      </c>
      <c r="AC63" s="364"/>
      <c r="AD63" s="364">
        <v>8000</v>
      </c>
      <c r="AE63" s="364"/>
      <c r="AF63" s="364">
        <v>8000</v>
      </c>
      <c r="AG63" s="361">
        <f t="shared" si="59"/>
        <v>8000</v>
      </c>
      <c r="AH63" s="361">
        <f t="shared" si="60"/>
        <v>0</v>
      </c>
      <c r="AI63" s="361">
        <f t="shared" si="61"/>
        <v>8000</v>
      </c>
      <c r="AJ63" s="361">
        <f t="shared" si="62"/>
        <v>0</v>
      </c>
      <c r="AK63" s="361">
        <f t="shared" si="63"/>
        <v>8000</v>
      </c>
      <c r="AL63" s="361">
        <f t="shared" si="64"/>
        <v>0</v>
      </c>
      <c r="AM63" s="361">
        <f t="shared" si="65"/>
        <v>8000</v>
      </c>
      <c r="AN63" s="361"/>
      <c r="AO63" s="361">
        <f t="shared" si="66"/>
        <v>8000</v>
      </c>
      <c r="AP63" s="361">
        <f t="shared" si="71"/>
        <v>0</v>
      </c>
      <c r="AQ63" s="361">
        <f t="shared" si="72"/>
        <v>8000</v>
      </c>
    </row>
    <row r="64" spans="1:43" s="215" customFormat="1" ht="21" customHeight="1">
      <c r="A64" s="601" t="s">
        <v>163</v>
      </c>
      <c r="B64" s="356"/>
      <c r="C64" s="356"/>
      <c r="D64" s="356"/>
      <c r="E64" s="356"/>
      <c r="F64" s="356"/>
      <c r="G64" s="356"/>
      <c r="H64" s="356"/>
      <c r="I64" s="356"/>
      <c r="J64" s="356"/>
      <c r="K64" s="356"/>
      <c r="L64" s="356"/>
      <c r="M64" s="356"/>
      <c r="N64" s="356"/>
      <c r="O64" s="356"/>
      <c r="P64" s="356"/>
      <c r="Q64" s="356">
        <v>1269</v>
      </c>
      <c r="R64" s="356"/>
      <c r="S64" s="356"/>
      <c r="T64" s="356"/>
      <c r="U64" s="356">
        <f>SUM(Q64:R64)</f>
        <v>1269</v>
      </c>
      <c r="V64" s="356"/>
      <c r="W64" s="356"/>
      <c r="X64" s="356"/>
      <c r="Y64" s="356"/>
      <c r="Z64" s="356">
        <f>SUM(U64:V64)</f>
        <v>1269</v>
      </c>
      <c r="AA64" s="356"/>
      <c r="AB64" s="356">
        <f>SUM(Z64:AA64)</f>
        <v>1269</v>
      </c>
      <c r="AC64" s="356"/>
      <c r="AD64" s="356">
        <v>1269</v>
      </c>
      <c r="AE64" s="356"/>
      <c r="AF64" s="356">
        <v>988</v>
      </c>
      <c r="AG64" s="355">
        <f t="shared" si="59"/>
        <v>1269</v>
      </c>
      <c r="AH64" s="355">
        <f t="shared" si="60"/>
        <v>0</v>
      </c>
      <c r="AI64" s="355">
        <f t="shared" si="61"/>
        <v>1269</v>
      </c>
      <c r="AJ64" s="355">
        <f t="shared" si="62"/>
        <v>0</v>
      </c>
      <c r="AK64" s="355">
        <f t="shared" si="63"/>
        <v>1269</v>
      </c>
      <c r="AL64" s="355">
        <f t="shared" si="64"/>
        <v>0</v>
      </c>
      <c r="AM64" s="355">
        <f t="shared" si="65"/>
        <v>1269</v>
      </c>
      <c r="AN64" s="355"/>
      <c r="AO64" s="355">
        <f t="shared" si="66"/>
        <v>988</v>
      </c>
      <c r="AP64" s="355">
        <f>W64+AE64+AN64</f>
        <v>0</v>
      </c>
      <c r="AQ64" s="355">
        <f>SUM(AO64:AP64)</f>
        <v>988</v>
      </c>
    </row>
    <row r="65" spans="1:43" s="215" customFormat="1" ht="22.5" customHeight="1">
      <c r="A65" s="601" t="s">
        <v>677</v>
      </c>
      <c r="B65" s="356"/>
      <c r="C65" s="356"/>
      <c r="D65" s="356"/>
      <c r="E65" s="356"/>
      <c r="F65" s="356"/>
      <c r="G65" s="356"/>
      <c r="H65" s="356"/>
      <c r="I65" s="356"/>
      <c r="J65" s="356"/>
      <c r="K65" s="356"/>
      <c r="L65" s="356"/>
      <c r="M65" s="356"/>
      <c r="N65" s="356"/>
      <c r="O65" s="356"/>
      <c r="P65" s="356"/>
      <c r="Q65" s="356">
        <v>16000</v>
      </c>
      <c r="R65" s="356"/>
      <c r="S65" s="356"/>
      <c r="T65" s="356"/>
      <c r="U65" s="356">
        <f t="shared" ref="U65:U84" si="75">SUM(Q65:R65)</f>
        <v>16000</v>
      </c>
      <c r="V65" s="356"/>
      <c r="W65" s="356"/>
      <c r="X65" s="356"/>
      <c r="Y65" s="356"/>
      <c r="Z65" s="356">
        <f t="shared" ref="Z65:Z84" si="76">SUM(U65:V65)</f>
        <v>16000</v>
      </c>
      <c r="AA65" s="356"/>
      <c r="AB65" s="356">
        <f t="shared" ref="AB65:AB84" si="77">SUM(Z65:AA65)</f>
        <v>16000</v>
      </c>
      <c r="AC65" s="356"/>
      <c r="AD65" s="356">
        <v>16000</v>
      </c>
      <c r="AE65" s="356"/>
      <c r="AF65" s="356">
        <v>16510</v>
      </c>
      <c r="AG65" s="355">
        <f t="shared" si="59"/>
        <v>16000</v>
      </c>
      <c r="AH65" s="355">
        <f t="shared" si="60"/>
        <v>0</v>
      </c>
      <c r="AI65" s="355">
        <f t="shared" si="61"/>
        <v>16000</v>
      </c>
      <c r="AJ65" s="355">
        <f t="shared" si="62"/>
        <v>0</v>
      </c>
      <c r="AK65" s="355">
        <f t="shared" si="63"/>
        <v>16000</v>
      </c>
      <c r="AL65" s="355">
        <f t="shared" si="64"/>
        <v>0</v>
      </c>
      <c r="AM65" s="355">
        <f t="shared" si="65"/>
        <v>16000</v>
      </c>
      <c r="AN65" s="355"/>
      <c r="AO65" s="355">
        <f t="shared" si="66"/>
        <v>16510</v>
      </c>
      <c r="AP65" s="355">
        <f t="shared" ref="AP65:AP67" si="78">W65+AE65+AN65</f>
        <v>0</v>
      </c>
      <c r="AQ65" s="355">
        <f t="shared" ref="AQ65:AQ67" si="79">SUM(AO65:AP65)</f>
        <v>16510</v>
      </c>
    </row>
    <row r="66" spans="1:43" s="215" customFormat="1" ht="39.75" customHeight="1">
      <c r="A66" s="601" t="s">
        <v>450</v>
      </c>
      <c r="B66" s="356">
        <v>1380</v>
      </c>
      <c r="C66" s="356"/>
      <c r="D66" s="356">
        <f>SUM(B66:C66)</f>
        <v>1380</v>
      </c>
      <c r="E66" s="356"/>
      <c r="F66" s="356">
        <v>1380</v>
      </c>
      <c r="G66" s="356">
        <v>1380</v>
      </c>
      <c r="H66" s="356">
        <v>250</v>
      </c>
      <c r="I66" s="356"/>
      <c r="J66" s="356"/>
      <c r="K66" s="356">
        <f>F66+J66</f>
        <v>1380</v>
      </c>
      <c r="L66" s="356">
        <f>SUM(H66:I66)</f>
        <v>250</v>
      </c>
      <c r="M66" s="356"/>
      <c r="N66" s="356"/>
      <c r="O66" s="356">
        <f>K66+N66</f>
        <v>1380</v>
      </c>
      <c r="P66" s="356">
        <f>SUM(L66:M66)</f>
        <v>250</v>
      </c>
      <c r="Q66" s="356">
        <v>1370</v>
      </c>
      <c r="R66" s="356"/>
      <c r="S66" s="356"/>
      <c r="T66" s="356">
        <f>P66+S66</f>
        <v>250</v>
      </c>
      <c r="U66" s="356">
        <f t="shared" si="75"/>
        <v>1370</v>
      </c>
      <c r="V66" s="356">
        <v>-90</v>
      </c>
      <c r="W66" s="356"/>
      <c r="X66" s="356">
        <v>218</v>
      </c>
      <c r="Y66" s="356">
        <f>T66+X66</f>
        <v>468</v>
      </c>
      <c r="Z66" s="356">
        <f t="shared" si="76"/>
        <v>1280</v>
      </c>
      <c r="AA66" s="356"/>
      <c r="AB66" s="356">
        <v>1370</v>
      </c>
      <c r="AC66" s="356"/>
      <c r="AD66" s="356">
        <v>1280</v>
      </c>
      <c r="AE66" s="356"/>
      <c r="AF66" s="356">
        <v>1302</v>
      </c>
      <c r="AG66" s="355">
        <f t="shared" si="59"/>
        <v>3000</v>
      </c>
      <c r="AH66" s="355">
        <f t="shared" si="60"/>
        <v>0</v>
      </c>
      <c r="AI66" s="355">
        <f t="shared" si="61"/>
        <v>3000</v>
      </c>
      <c r="AJ66" s="355">
        <f t="shared" si="62"/>
        <v>-90</v>
      </c>
      <c r="AK66" s="355">
        <f t="shared" si="63"/>
        <v>2910</v>
      </c>
      <c r="AL66" s="355">
        <f t="shared" si="64"/>
        <v>0</v>
      </c>
      <c r="AM66" s="355">
        <f t="shared" si="65"/>
        <v>2910</v>
      </c>
      <c r="AN66" s="355"/>
      <c r="AO66" s="355">
        <f t="shared" si="66"/>
        <v>2900</v>
      </c>
      <c r="AP66" s="355">
        <f t="shared" si="78"/>
        <v>0</v>
      </c>
      <c r="AQ66" s="355">
        <f t="shared" si="79"/>
        <v>2900</v>
      </c>
    </row>
    <row r="67" spans="1:43" s="215" customFormat="1" ht="21.75" customHeight="1">
      <c r="A67" s="601" t="s">
        <v>164</v>
      </c>
      <c r="B67" s="356"/>
      <c r="C67" s="356"/>
      <c r="D67" s="356">
        <f t="shared" ref="D67:D68" si="80">SUM(B67:C67)</f>
        <v>0</v>
      </c>
      <c r="E67" s="356"/>
      <c r="F67" s="356">
        <v>0</v>
      </c>
      <c r="G67" s="356"/>
      <c r="H67" s="356"/>
      <c r="I67" s="356"/>
      <c r="J67" s="356"/>
      <c r="K67" s="356">
        <f t="shared" ref="K67:K84" si="81">F67+J67</f>
        <v>0</v>
      </c>
      <c r="L67" s="356">
        <f>SUM(H67:I67)</f>
        <v>0</v>
      </c>
      <c r="M67" s="356"/>
      <c r="N67" s="356"/>
      <c r="O67" s="356">
        <f t="shared" ref="O67:O89" si="82">K67+N67</f>
        <v>0</v>
      </c>
      <c r="P67" s="356">
        <f t="shared" ref="P67:P84" si="83">SUM(L67:M67)</f>
        <v>0</v>
      </c>
      <c r="Q67" s="356">
        <v>626</v>
      </c>
      <c r="R67" s="356"/>
      <c r="S67" s="356"/>
      <c r="T67" s="356">
        <f t="shared" ref="T67:T84" si="84">P67+S67</f>
        <v>0</v>
      </c>
      <c r="U67" s="356">
        <f t="shared" si="75"/>
        <v>626</v>
      </c>
      <c r="V67" s="356"/>
      <c r="W67" s="356"/>
      <c r="X67" s="356"/>
      <c r="Y67" s="356">
        <f t="shared" ref="Y67:Y89" si="85">T67+X67</f>
        <v>0</v>
      </c>
      <c r="Z67" s="356">
        <f t="shared" si="76"/>
        <v>626</v>
      </c>
      <c r="AA67" s="356"/>
      <c r="AB67" s="356">
        <f t="shared" si="77"/>
        <v>626</v>
      </c>
      <c r="AC67" s="356"/>
      <c r="AD67" s="356">
        <v>626</v>
      </c>
      <c r="AE67" s="356"/>
      <c r="AF67" s="356">
        <v>587</v>
      </c>
      <c r="AG67" s="355">
        <f t="shared" si="59"/>
        <v>626</v>
      </c>
      <c r="AH67" s="355">
        <f t="shared" si="60"/>
        <v>0</v>
      </c>
      <c r="AI67" s="355">
        <f t="shared" si="61"/>
        <v>626</v>
      </c>
      <c r="AJ67" s="355">
        <f t="shared" si="62"/>
        <v>0</v>
      </c>
      <c r="AK67" s="355">
        <f t="shared" si="63"/>
        <v>626</v>
      </c>
      <c r="AL67" s="355">
        <f t="shared" si="64"/>
        <v>0</v>
      </c>
      <c r="AM67" s="355">
        <f t="shared" si="65"/>
        <v>626</v>
      </c>
      <c r="AN67" s="355"/>
      <c r="AO67" s="355">
        <f t="shared" si="66"/>
        <v>587</v>
      </c>
      <c r="AP67" s="355">
        <f t="shared" si="78"/>
        <v>0</v>
      </c>
      <c r="AQ67" s="355">
        <f t="shared" si="79"/>
        <v>587</v>
      </c>
    </row>
    <row r="68" spans="1:43" s="215" customFormat="1" ht="18.75" customHeight="1">
      <c r="A68" s="601" t="s">
        <v>165</v>
      </c>
      <c r="B68" s="356"/>
      <c r="C68" s="356">
        <v>55</v>
      </c>
      <c r="D68" s="356">
        <f t="shared" si="80"/>
        <v>55</v>
      </c>
      <c r="E68" s="356"/>
      <c r="F68" s="356">
        <v>55</v>
      </c>
      <c r="G68" s="356"/>
      <c r="H68" s="356"/>
      <c r="I68" s="356">
        <v>10</v>
      </c>
      <c r="J68" s="356"/>
      <c r="K68" s="356">
        <f t="shared" si="81"/>
        <v>55</v>
      </c>
      <c r="L68" s="356">
        <f>SUM(H68:I68)</f>
        <v>10</v>
      </c>
      <c r="M68" s="356"/>
      <c r="N68" s="356"/>
      <c r="O68" s="356">
        <f t="shared" si="82"/>
        <v>55</v>
      </c>
      <c r="P68" s="356">
        <f t="shared" si="83"/>
        <v>10</v>
      </c>
      <c r="Q68" s="356">
        <f>4050-750</f>
        <v>3300</v>
      </c>
      <c r="R68" s="356">
        <v>-65</v>
      </c>
      <c r="S68" s="356"/>
      <c r="T68" s="356">
        <f t="shared" si="84"/>
        <v>10</v>
      </c>
      <c r="U68" s="356">
        <f t="shared" si="75"/>
        <v>3235</v>
      </c>
      <c r="V68" s="356"/>
      <c r="W68" s="356"/>
      <c r="X68" s="356"/>
      <c r="Y68" s="356">
        <f t="shared" si="85"/>
        <v>10</v>
      </c>
      <c r="Z68" s="356">
        <f t="shared" si="76"/>
        <v>3235</v>
      </c>
      <c r="AA68" s="356"/>
      <c r="AB68" s="356">
        <v>3300</v>
      </c>
      <c r="AC68" s="356"/>
      <c r="AD68" s="356">
        <v>3235</v>
      </c>
      <c r="AE68" s="356"/>
      <c r="AF68" s="356">
        <v>3000</v>
      </c>
      <c r="AG68" s="355">
        <f t="shared" si="59"/>
        <v>3300</v>
      </c>
      <c r="AH68" s="355">
        <f t="shared" si="60"/>
        <v>0</v>
      </c>
      <c r="AI68" s="355">
        <f t="shared" si="61"/>
        <v>3300</v>
      </c>
      <c r="AJ68" s="355">
        <f t="shared" si="62"/>
        <v>0</v>
      </c>
      <c r="AK68" s="355">
        <f t="shared" si="63"/>
        <v>3300</v>
      </c>
      <c r="AL68" s="355">
        <f t="shared" si="64"/>
        <v>0</v>
      </c>
      <c r="AM68" s="355">
        <f t="shared" si="65"/>
        <v>3300</v>
      </c>
      <c r="AN68" s="355">
        <v>70</v>
      </c>
      <c r="AO68" s="355">
        <f t="shared" si="66"/>
        <v>3000</v>
      </c>
      <c r="AP68" s="355">
        <f>W68+AE68+AN68</f>
        <v>70</v>
      </c>
      <c r="AQ68" s="355">
        <f>SUM(AO68:AP68)</f>
        <v>3070</v>
      </c>
    </row>
    <row r="69" spans="1:43" s="215" customFormat="1" ht="20.25" customHeight="1">
      <c r="A69" s="601" t="s">
        <v>166</v>
      </c>
      <c r="B69" s="356"/>
      <c r="C69" s="356"/>
      <c r="D69" s="356"/>
      <c r="E69" s="356"/>
      <c r="F69" s="356">
        <v>0</v>
      </c>
      <c r="G69" s="356"/>
      <c r="H69" s="356"/>
      <c r="I69" s="356"/>
      <c r="J69" s="356"/>
      <c r="K69" s="356">
        <f t="shared" si="81"/>
        <v>0</v>
      </c>
      <c r="L69" s="356"/>
      <c r="M69" s="356"/>
      <c r="N69" s="356"/>
      <c r="O69" s="356">
        <f t="shared" si="82"/>
        <v>0</v>
      </c>
      <c r="P69" s="356">
        <f t="shared" si="83"/>
        <v>0</v>
      </c>
      <c r="Q69" s="356">
        <f>1000-300</f>
        <v>700</v>
      </c>
      <c r="R69" s="356"/>
      <c r="S69" s="356"/>
      <c r="T69" s="356">
        <f t="shared" si="84"/>
        <v>0</v>
      </c>
      <c r="U69" s="356">
        <f t="shared" si="75"/>
        <v>700</v>
      </c>
      <c r="V69" s="356"/>
      <c r="W69" s="356"/>
      <c r="X69" s="356"/>
      <c r="Y69" s="356">
        <f t="shared" si="85"/>
        <v>0</v>
      </c>
      <c r="Z69" s="356">
        <f t="shared" si="76"/>
        <v>700</v>
      </c>
      <c r="AA69" s="356"/>
      <c r="AB69" s="356">
        <f t="shared" si="77"/>
        <v>700</v>
      </c>
      <c r="AC69" s="356"/>
      <c r="AD69" s="356">
        <v>700</v>
      </c>
      <c r="AE69" s="356"/>
      <c r="AF69" s="356">
        <v>700</v>
      </c>
      <c r="AG69" s="355">
        <f t="shared" si="59"/>
        <v>700</v>
      </c>
      <c r="AH69" s="355">
        <f t="shared" si="60"/>
        <v>0</v>
      </c>
      <c r="AI69" s="355">
        <f t="shared" si="61"/>
        <v>700</v>
      </c>
      <c r="AJ69" s="355">
        <f t="shared" si="62"/>
        <v>0</v>
      </c>
      <c r="AK69" s="355">
        <f t="shared" si="63"/>
        <v>700</v>
      </c>
      <c r="AL69" s="355">
        <f t="shared" si="64"/>
        <v>0</v>
      </c>
      <c r="AM69" s="355">
        <f t="shared" si="65"/>
        <v>700</v>
      </c>
      <c r="AN69" s="355"/>
      <c r="AO69" s="355">
        <f t="shared" si="66"/>
        <v>700</v>
      </c>
      <c r="AP69" s="355">
        <f t="shared" ref="AP69:AP71" si="86">W69+AE69+AN69</f>
        <v>0</v>
      </c>
      <c r="AQ69" s="355">
        <f t="shared" ref="AQ69:AQ71" si="87">SUM(AO69:AP69)</f>
        <v>700</v>
      </c>
    </row>
    <row r="70" spans="1:43" s="215" customFormat="1" ht="27" customHeight="1">
      <c r="A70" s="601" t="s">
        <v>466</v>
      </c>
      <c r="B70" s="356"/>
      <c r="C70" s="356"/>
      <c r="D70" s="356"/>
      <c r="E70" s="356"/>
      <c r="F70" s="356">
        <v>0</v>
      </c>
      <c r="G70" s="356"/>
      <c r="H70" s="356"/>
      <c r="I70" s="356"/>
      <c r="J70" s="356"/>
      <c r="K70" s="356">
        <f t="shared" si="81"/>
        <v>0</v>
      </c>
      <c r="L70" s="356"/>
      <c r="M70" s="356"/>
      <c r="N70" s="356"/>
      <c r="O70" s="356">
        <f t="shared" si="82"/>
        <v>0</v>
      </c>
      <c r="P70" s="356">
        <f t="shared" si="83"/>
        <v>0</v>
      </c>
      <c r="Q70" s="356">
        <f>1000-900</f>
        <v>100</v>
      </c>
      <c r="R70" s="356"/>
      <c r="S70" s="356"/>
      <c r="T70" s="356">
        <f t="shared" si="84"/>
        <v>0</v>
      </c>
      <c r="U70" s="356">
        <f t="shared" si="75"/>
        <v>100</v>
      </c>
      <c r="V70" s="356"/>
      <c r="W70" s="356"/>
      <c r="X70" s="356"/>
      <c r="Y70" s="356">
        <f t="shared" si="85"/>
        <v>0</v>
      </c>
      <c r="Z70" s="356">
        <f t="shared" si="76"/>
        <v>100</v>
      </c>
      <c r="AA70" s="356"/>
      <c r="AB70" s="356">
        <f t="shared" si="77"/>
        <v>100</v>
      </c>
      <c r="AC70" s="356"/>
      <c r="AD70" s="356">
        <v>100</v>
      </c>
      <c r="AE70" s="356"/>
      <c r="AF70" s="356">
        <v>100</v>
      </c>
      <c r="AG70" s="355">
        <f t="shared" si="59"/>
        <v>100</v>
      </c>
      <c r="AH70" s="355">
        <f t="shared" si="60"/>
        <v>0</v>
      </c>
      <c r="AI70" s="355">
        <f t="shared" si="61"/>
        <v>100</v>
      </c>
      <c r="AJ70" s="355">
        <f t="shared" si="62"/>
        <v>0</v>
      </c>
      <c r="AK70" s="355">
        <f t="shared" si="63"/>
        <v>100</v>
      </c>
      <c r="AL70" s="355">
        <f t="shared" si="64"/>
        <v>0</v>
      </c>
      <c r="AM70" s="355">
        <f t="shared" si="65"/>
        <v>100</v>
      </c>
      <c r="AN70" s="355"/>
      <c r="AO70" s="355">
        <f t="shared" si="66"/>
        <v>100</v>
      </c>
      <c r="AP70" s="355">
        <f t="shared" si="86"/>
        <v>0</v>
      </c>
      <c r="AQ70" s="355">
        <f t="shared" si="87"/>
        <v>100</v>
      </c>
    </row>
    <row r="71" spans="1:43" s="215" customFormat="1" ht="30.75" customHeight="1">
      <c r="A71" s="601" t="s">
        <v>167</v>
      </c>
      <c r="B71" s="356">
        <v>12034</v>
      </c>
      <c r="C71" s="356"/>
      <c r="D71" s="356">
        <f>SUM(B71:C71)</f>
        <v>12034</v>
      </c>
      <c r="E71" s="356"/>
      <c r="F71" s="356">
        <v>13162</v>
      </c>
      <c r="G71" s="356">
        <v>14000</v>
      </c>
      <c r="H71" s="356"/>
      <c r="I71" s="356"/>
      <c r="J71" s="356">
        <v>453</v>
      </c>
      <c r="K71" s="356">
        <v>12682</v>
      </c>
      <c r="L71" s="356"/>
      <c r="M71" s="356"/>
      <c r="N71" s="356">
        <v>480</v>
      </c>
      <c r="O71" s="356">
        <f t="shared" si="82"/>
        <v>13162</v>
      </c>
      <c r="P71" s="356">
        <f t="shared" si="83"/>
        <v>0</v>
      </c>
      <c r="Q71" s="356">
        <v>24900</v>
      </c>
      <c r="R71" s="356">
        <v>14</v>
      </c>
      <c r="S71" s="356"/>
      <c r="T71" s="356">
        <f t="shared" si="84"/>
        <v>0</v>
      </c>
      <c r="U71" s="356">
        <f t="shared" si="75"/>
        <v>24914</v>
      </c>
      <c r="V71" s="356"/>
      <c r="W71" s="356"/>
      <c r="X71" s="356"/>
      <c r="Y71" s="356">
        <f t="shared" si="85"/>
        <v>0</v>
      </c>
      <c r="Z71" s="356">
        <f t="shared" si="76"/>
        <v>24914</v>
      </c>
      <c r="AA71" s="356">
        <v>220</v>
      </c>
      <c r="AB71" s="356">
        <v>24900</v>
      </c>
      <c r="AC71" s="356">
        <f>-338+30</f>
        <v>-308</v>
      </c>
      <c r="AD71" s="356">
        <v>30870</v>
      </c>
      <c r="AE71" s="356"/>
      <c r="AF71" s="356">
        <f>32915+6131</f>
        <v>39046</v>
      </c>
      <c r="AG71" s="355">
        <f t="shared" si="59"/>
        <v>36934</v>
      </c>
      <c r="AH71" s="355">
        <f t="shared" si="60"/>
        <v>14</v>
      </c>
      <c r="AI71" s="355">
        <f t="shared" si="61"/>
        <v>36948</v>
      </c>
      <c r="AJ71" s="355">
        <f t="shared" si="62"/>
        <v>0</v>
      </c>
      <c r="AK71" s="355">
        <f t="shared" si="63"/>
        <v>38076</v>
      </c>
      <c r="AL71" s="355">
        <f t="shared" si="64"/>
        <v>673</v>
      </c>
      <c r="AM71" s="355">
        <f t="shared" si="65"/>
        <v>44032</v>
      </c>
      <c r="AN71" s="355">
        <v>-40000</v>
      </c>
      <c r="AO71" s="355">
        <f t="shared" si="66"/>
        <v>53046</v>
      </c>
      <c r="AP71" s="355">
        <f t="shared" si="86"/>
        <v>-40000</v>
      </c>
      <c r="AQ71" s="355">
        <f t="shared" si="87"/>
        <v>13046</v>
      </c>
    </row>
    <row r="72" spans="1:43" s="215" customFormat="1" ht="32.25" customHeight="1">
      <c r="A72" s="602" t="s">
        <v>461</v>
      </c>
      <c r="B72" s="356" t="e">
        <f t="shared" ref="B72:AQ72" si="88">B6+B29+B34+B44+B49+B64+B65+B66+B67+B68+B69+B70+B71</f>
        <v>#REF!</v>
      </c>
      <c r="C72" s="356" t="e">
        <f t="shared" si="88"/>
        <v>#REF!</v>
      </c>
      <c r="D72" s="356" t="e">
        <f t="shared" si="88"/>
        <v>#REF!</v>
      </c>
      <c r="E72" s="356" t="e">
        <f t="shared" si="88"/>
        <v>#REF!</v>
      </c>
      <c r="F72" s="356" t="e">
        <f t="shared" si="88"/>
        <v>#REF!</v>
      </c>
      <c r="G72" s="356">
        <f t="shared" si="88"/>
        <v>243004</v>
      </c>
      <c r="H72" s="356" t="e">
        <f t="shared" si="88"/>
        <v>#REF!</v>
      </c>
      <c r="I72" s="356" t="e">
        <f t="shared" si="88"/>
        <v>#REF!</v>
      </c>
      <c r="J72" s="356">
        <f t="shared" si="88"/>
        <v>455</v>
      </c>
      <c r="K72" s="356">
        <f t="shared" si="88"/>
        <v>278835</v>
      </c>
      <c r="L72" s="356" t="e">
        <f t="shared" si="88"/>
        <v>#REF!</v>
      </c>
      <c r="M72" s="356">
        <f t="shared" si="88"/>
        <v>0</v>
      </c>
      <c r="N72" s="356">
        <f t="shared" si="88"/>
        <v>481</v>
      </c>
      <c r="O72" s="356">
        <f t="shared" si="88"/>
        <v>279316</v>
      </c>
      <c r="P72" s="356" t="e">
        <f t="shared" si="88"/>
        <v>#REF!</v>
      </c>
      <c r="Q72" s="356" t="e">
        <f t="shared" si="88"/>
        <v>#REF!</v>
      </c>
      <c r="R72" s="356" t="e">
        <f t="shared" si="88"/>
        <v>#REF!</v>
      </c>
      <c r="S72" s="356">
        <f t="shared" si="88"/>
        <v>1</v>
      </c>
      <c r="T72" s="356" t="e">
        <f t="shared" si="88"/>
        <v>#REF!</v>
      </c>
      <c r="U72" s="356" t="e">
        <f t="shared" si="88"/>
        <v>#REF!</v>
      </c>
      <c r="V72" s="356">
        <f t="shared" si="88"/>
        <v>-6090</v>
      </c>
      <c r="W72" s="356">
        <f t="shared" si="88"/>
        <v>1</v>
      </c>
      <c r="X72" s="356">
        <f t="shared" si="88"/>
        <v>26847</v>
      </c>
      <c r="Y72" s="356" t="e">
        <f t="shared" si="88"/>
        <v>#REF!</v>
      </c>
      <c r="Z72" s="356" t="e">
        <f t="shared" si="88"/>
        <v>#REF!</v>
      </c>
      <c r="AA72" s="356">
        <f t="shared" si="88"/>
        <v>2570</v>
      </c>
      <c r="AB72" s="356" t="e">
        <f t="shared" si="88"/>
        <v>#REF!</v>
      </c>
      <c r="AC72" s="356">
        <f t="shared" si="88"/>
        <v>-308</v>
      </c>
      <c r="AD72" s="356">
        <f t="shared" si="88"/>
        <v>488864</v>
      </c>
      <c r="AE72" s="356">
        <f t="shared" si="88"/>
        <v>0</v>
      </c>
      <c r="AF72" s="356">
        <f t="shared" si="88"/>
        <v>506909</v>
      </c>
      <c r="AG72" s="356" t="e">
        <f t="shared" si="88"/>
        <v>#REF!</v>
      </c>
      <c r="AH72" s="356" t="e">
        <f t="shared" si="88"/>
        <v>#REF!</v>
      </c>
      <c r="AI72" s="356" t="e">
        <f t="shared" si="88"/>
        <v>#REF!</v>
      </c>
      <c r="AJ72" s="356">
        <f t="shared" si="88"/>
        <v>-6089</v>
      </c>
      <c r="AK72" s="356" t="e">
        <f t="shared" si="88"/>
        <v>#REF!</v>
      </c>
      <c r="AL72" s="356">
        <f t="shared" si="88"/>
        <v>3026</v>
      </c>
      <c r="AM72" s="356" t="e">
        <f t="shared" si="88"/>
        <v>#REF!</v>
      </c>
      <c r="AN72" s="356">
        <f t="shared" si="88"/>
        <v>-39930</v>
      </c>
      <c r="AO72" s="356">
        <f t="shared" si="88"/>
        <v>776760</v>
      </c>
      <c r="AP72" s="356">
        <f t="shared" si="88"/>
        <v>-39929</v>
      </c>
      <c r="AQ72" s="356">
        <f t="shared" si="88"/>
        <v>736831</v>
      </c>
    </row>
    <row r="73" spans="1:43" s="215" customFormat="1" ht="28.5">
      <c r="A73" s="603" t="s">
        <v>168</v>
      </c>
      <c r="B73" s="356">
        <v>15010</v>
      </c>
      <c r="C73" s="356"/>
      <c r="D73" s="356">
        <f t="shared" ref="D73:D84" si="89">SUM(B73:C73)</f>
        <v>15010</v>
      </c>
      <c r="E73" s="356"/>
      <c r="F73" s="356">
        <v>15010</v>
      </c>
      <c r="G73" s="356">
        <v>9705</v>
      </c>
      <c r="H73" s="356">
        <v>3648</v>
      </c>
      <c r="I73" s="356"/>
      <c r="J73" s="356"/>
      <c r="K73" s="356">
        <f t="shared" si="81"/>
        <v>15010</v>
      </c>
      <c r="L73" s="356">
        <f t="shared" ref="L73:L84" si="90">SUM(H73:I73)</f>
        <v>3648</v>
      </c>
      <c r="M73" s="356"/>
      <c r="N73" s="356"/>
      <c r="O73" s="356">
        <f t="shared" si="82"/>
        <v>15010</v>
      </c>
      <c r="P73" s="356">
        <f t="shared" si="83"/>
        <v>3648</v>
      </c>
      <c r="Q73" s="356">
        <v>5769</v>
      </c>
      <c r="R73" s="356"/>
      <c r="S73" s="356"/>
      <c r="T73" s="356">
        <f t="shared" si="84"/>
        <v>3648</v>
      </c>
      <c r="U73" s="356">
        <f t="shared" si="75"/>
        <v>5769</v>
      </c>
      <c r="V73" s="356"/>
      <c r="W73" s="356"/>
      <c r="X73" s="356">
        <v>5145</v>
      </c>
      <c r="Y73" s="356">
        <f t="shared" si="85"/>
        <v>8793</v>
      </c>
      <c r="Z73" s="356">
        <f t="shared" si="76"/>
        <v>5769</v>
      </c>
      <c r="AA73" s="356"/>
      <c r="AB73" s="356">
        <f t="shared" si="77"/>
        <v>5769</v>
      </c>
      <c r="AC73" s="356"/>
      <c r="AD73" s="356">
        <v>5769</v>
      </c>
      <c r="AE73" s="356"/>
      <c r="AF73" s="356">
        <v>8557</v>
      </c>
      <c r="AG73" s="355">
        <f t="shared" ref="AG73:AH77" si="91">B73+H73+Q73</f>
        <v>24427</v>
      </c>
      <c r="AH73" s="355">
        <f t="shared" si="91"/>
        <v>0</v>
      </c>
      <c r="AI73" s="355">
        <f t="shared" ref="AI73:AJ77" si="92">D73+L73+U73</f>
        <v>24427</v>
      </c>
      <c r="AJ73" s="355">
        <f t="shared" si="92"/>
        <v>0</v>
      </c>
      <c r="AK73" s="355">
        <f>F73+P73+Z73</f>
        <v>24427</v>
      </c>
      <c r="AL73" s="355">
        <f>J73+S73+AA73</f>
        <v>0</v>
      </c>
      <c r="AM73" s="355">
        <f>F73+T73+AD73</f>
        <v>24427</v>
      </c>
      <c r="AN73" s="355"/>
      <c r="AO73" s="355">
        <f t="shared" ref="AO73:AO91" si="93">G73+X73+AF73</f>
        <v>23407</v>
      </c>
      <c r="AP73" s="355">
        <f t="shared" ref="AP73" si="94">W73+AE73+AN73</f>
        <v>0</v>
      </c>
      <c r="AQ73" s="355">
        <f t="shared" ref="AQ73" si="95">SUM(AO73:AP73)</f>
        <v>23407</v>
      </c>
    </row>
    <row r="74" spans="1:43" s="215" customFormat="1" ht="28.5">
      <c r="A74" s="601" t="s">
        <v>359</v>
      </c>
      <c r="B74" s="356">
        <v>1398</v>
      </c>
      <c r="C74" s="356"/>
      <c r="D74" s="356">
        <f t="shared" si="89"/>
        <v>1398</v>
      </c>
      <c r="E74" s="356"/>
      <c r="F74" s="356">
        <v>1398</v>
      </c>
      <c r="G74" s="356"/>
      <c r="H74" s="356">
        <v>270</v>
      </c>
      <c r="I74" s="356"/>
      <c r="J74" s="356"/>
      <c r="K74" s="356">
        <f t="shared" si="81"/>
        <v>1398</v>
      </c>
      <c r="L74" s="356">
        <f t="shared" si="90"/>
        <v>270</v>
      </c>
      <c r="M74" s="356"/>
      <c r="N74" s="356"/>
      <c r="O74" s="356">
        <f t="shared" si="82"/>
        <v>1398</v>
      </c>
      <c r="P74" s="356">
        <f t="shared" si="83"/>
        <v>270</v>
      </c>
      <c r="Q74" s="356">
        <v>202</v>
      </c>
      <c r="R74" s="356"/>
      <c r="S74" s="356"/>
      <c r="T74" s="356">
        <f t="shared" si="84"/>
        <v>270</v>
      </c>
      <c r="U74" s="356">
        <f t="shared" si="75"/>
        <v>202</v>
      </c>
      <c r="V74" s="356"/>
      <c r="W74" s="356"/>
      <c r="X74" s="356"/>
      <c r="Y74" s="356">
        <f t="shared" si="85"/>
        <v>270</v>
      </c>
      <c r="Z74" s="356">
        <f t="shared" si="76"/>
        <v>202</v>
      </c>
      <c r="AA74" s="356"/>
      <c r="AB74" s="356">
        <f t="shared" si="77"/>
        <v>202</v>
      </c>
      <c r="AC74" s="356"/>
      <c r="AD74" s="356">
        <v>202</v>
      </c>
      <c r="AE74" s="356"/>
      <c r="AF74" s="356">
        <v>126</v>
      </c>
      <c r="AG74" s="355">
        <f t="shared" si="91"/>
        <v>1870</v>
      </c>
      <c r="AH74" s="355">
        <f t="shared" si="91"/>
        <v>0</v>
      </c>
      <c r="AI74" s="355">
        <f t="shared" si="92"/>
        <v>1870</v>
      </c>
      <c r="AJ74" s="355">
        <f t="shared" si="92"/>
        <v>0</v>
      </c>
      <c r="AK74" s="355">
        <f>F74+P74+Z74</f>
        <v>1870</v>
      </c>
      <c r="AL74" s="355">
        <f>J74+S74+AA74</f>
        <v>0</v>
      </c>
      <c r="AM74" s="355">
        <f>F74+T74+AD74</f>
        <v>1870</v>
      </c>
      <c r="AN74" s="355"/>
      <c r="AO74" s="355">
        <f t="shared" si="93"/>
        <v>126</v>
      </c>
      <c r="AP74" s="355">
        <f t="shared" ref="AP74:AP91" si="96">W74+AE74+AN74</f>
        <v>0</v>
      </c>
      <c r="AQ74" s="355">
        <f t="shared" ref="AQ74:AQ91" si="97">SUM(AO74:AP74)</f>
        <v>126</v>
      </c>
    </row>
    <row r="75" spans="1:43" s="215" customFormat="1" ht="28.5">
      <c r="A75" s="603" t="s">
        <v>1033</v>
      </c>
      <c r="B75" s="356">
        <v>9292</v>
      </c>
      <c r="C75" s="356"/>
      <c r="D75" s="356">
        <f t="shared" si="89"/>
        <v>9292</v>
      </c>
      <c r="E75" s="356"/>
      <c r="F75" s="356">
        <v>9292</v>
      </c>
      <c r="G75" s="356">
        <v>4865</v>
      </c>
      <c r="H75" s="356">
        <v>1631</v>
      </c>
      <c r="I75" s="356"/>
      <c r="J75" s="356"/>
      <c r="K75" s="356">
        <f t="shared" si="81"/>
        <v>9292</v>
      </c>
      <c r="L75" s="356">
        <f t="shared" si="90"/>
        <v>1631</v>
      </c>
      <c r="M75" s="356"/>
      <c r="N75" s="356"/>
      <c r="O75" s="356">
        <f t="shared" si="82"/>
        <v>9292</v>
      </c>
      <c r="P75" s="356">
        <f t="shared" si="83"/>
        <v>1631</v>
      </c>
      <c r="Q75" s="356">
        <v>5340</v>
      </c>
      <c r="R75" s="356"/>
      <c r="S75" s="356"/>
      <c r="T75" s="356">
        <f t="shared" si="84"/>
        <v>1631</v>
      </c>
      <c r="U75" s="356">
        <f t="shared" si="75"/>
        <v>5340</v>
      </c>
      <c r="V75" s="356"/>
      <c r="W75" s="356"/>
      <c r="X75" s="356">
        <v>854</v>
      </c>
      <c r="Y75" s="356">
        <f t="shared" si="85"/>
        <v>2485</v>
      </c>
      <c r="Z75" s="356">
        <f t="shared" si="76"/>
        <v>5340</v>
      </c>
      <c r="AA75" s="356"/>
      <c r="AB75" s="356">
        <v>5340</v>
      </c>
      <c r="AC75" s="356">
        <v>95083</v>
      </c>
      <c r="AD75" s="356">
        <v>253399</v>
      </c>
      <c r="AE75" s="356"/>
      <c r="AF75" s="356">
        <v>3380</v>
      </c>
      <c r="AG75" s="355">
        <f t="shared" si="91"/>
        <v>16263</v>
      </c>
      <c r="AH75" s="355">
        <f t="shared" si="91"/>
        <v>0</v>
      </c>
      <c r="AI75" s="355">
        <f t="shared" si="92"/>
        <v>16263</v>
      </c>
      <c r="AJ75" s="355">
        <f t="shared" si="92"/>
        <v>0</v>
      </c>
      <c r="AK75" s="355">
        <f>F75+P75+Z75</f>
        <v>16263</v>
      </c>
      <c r="AL75" s="355">
        <f>J75+S75+AA75</f>
        <v>0</v>
      </c>
      <c r="AM75" s="355">
        <f>F75+T75+AD75</f>
        <v>264322</v>
      </c>
      <c r="AN75" s="355"/>
      <c r="AO75" s="355">
        <f t="shared" si="93"/>
        <v>9099</v>
      </c>
      <c r="AP75" s="355">
        <f t="shared" si="96"/>
        <v>0</v>
      </c>
      <c r="AQ75" s="355">
        <f t="shared" si="97"/>
        <v>9099</v>
      </c>
    </row>
    <row r="76" spans="1:43" s="246" customFormat="1" ht="42" customHeight="1">
      <c r="A76" s="604" t="s">
        <v>419</v>
      </c>
      <c r="B76" s="356">
        <v>11140</v>
      </c>
      <c r="C76" s="356"/>
      <c r="D76" s="356">
        <f t="shared" si="89"/>
        <v>11140</v>
      </c>
      <c r="E76" s="356"/>
      <c r="F76" s="356">
        <v>11140</v>
      </c>
      <c r="G76" s="356">
        <v>7931</v>
      </c>
      <c r="H76" s="356">
        <v>2088</v>
      </c>
      <c r="I76" s="356"/>
      <c r="J76" s="356"/>
      <c r="K76" s="356">
        <f t="shared" si="81"/>
        <v>11140</v>
      </c>
      <c r="L76" s="356">
        <f t="shared" si="90"/>
        <v>2088</v>
      </c>
      <c r="M76" s="356"/>
      <c r="N76" s="356"/>
      <c r="O76" s="356">
        <f t="shared" si="82"/>
        <v>11140</v>
      </c>
      <c r="P76" s="356">
        <f t="shared" si="83"/>
        <v>2088</v>
      </c>
      <c r="Q76" s="356">
        <v>4198</v>
      </c>
      <c r="R76" s="356"/>
      <c r="S76" s="356"/>
      <c r="T76" s="356">
        <f t="shared" si="84"/>
        <v>2088</v>
      </c>
      <c r="U76" s="356">
        <f t="shared" si="75"/>
        <v>4198</v>
      </c>
      <c r="V76" s="356"/>
      <c r="W76" s="356"/>
      <c r="X76" s="356">
        <v>1603</v>
      </c>
      <c r="Y76" s="356">
        <f t="shared" si="85"/>
        <v>3691</v>
      </c>
      <c r="Z76" s="356">
        <f t="shared" si="76"/>
        <v>4198</v>
      </c>
      <c r="AA76" s="356"/>
      <c r="AB76" s="356">
        <f t="shared" si="77"/>
        <v>4198</v>
      </c>
      <c r="AC76" s="356"/>
      <c r="AD76" s="356">
        <v>4198</v>
      </c>
      <c r="AE76" s="356"/>
      <c r="AF76" s="356">
        <v>1486</v>
      </c>
      <c r="AG76" s="355">
        <f t="shared" si="91"/>
        <v>17426</v>
      </c>
      <c r="AH76" s="355">
        <f t="shared" si="91"/>
        <v>0</v>
      </c>
      <c r="AI76" s="355">
        <f t="shared" si="92"/>
        <v>17426</v>
      </c>
      <c r="AJ76" s="355">
        <f t="shared" si="92"/>
        <v>0</v>
      </c>
      <c r="AK76" s="355">
        <f>F76+P76+Z76</f>
        <v>17426</v>
      </c>
      <c r="AL76" s="355">
        <f>J76+S76+AA76</f>
        <v>0</v>
      </c>
      <c r="AM76" s="355">
        <f>F76+T76+AD76</f>
        <v>17426</v>
      </c>
      <c r="AN76" s="355"/>
      <c r="AO76" s="355">
        <f t="shared" si="93"/>
        <v>11020</v>
      </c>
      <c r="AP76" s="355">
        <f t="shared" si="96"/>
        <v>0</v>
      </c>
      <c r="AQ76" s="355">
        <f t="shared" si="97"/>
        <v>11020</v>
      </c>
    </row>
    <row r="77" spans="1:43" s="246" customFormat="1" ht="37.5" customHeight="1">
      <c r="A77" s="604" t="s">
        <v>430</v>
      </c>
      <c r="B77" s="356">
        <v>20849</v>
      </c>
      <c r="C77" s="356"/>
      <c r="D77" s="356">
        <f t="shared" si="89"/>
        <v>20849</v>
      </c>
      <c r="E77" s="356"/>
      <c r="F77" s="356">
        <v>20849</v>
      </c>
      <c r="G77" s="356">
        <v>15951</v>
      </c>
      <c r="H77" s="356">
        <v>3988</v>
      </c>
      <c r="I77" s="356"/>
      <c r="J77" s="356"/>
      <c r="K77" s="356">
        <f t="shared" si="81"/>
        <v>20849</v>
      </c>
      <c r="L77" s="356">
        <f t="shared" si="90"/>
        <v>3988</v>
      </c>
      <c r="M77" s="356"/>
      <c r="N77" s="356"/>
      <c r="O77" s="356">
        <f t="shared" si="82"/>
        <v>20849</v>
      </c>
      <c r="P77" s="356">
        <f t="shared" si="83"/>
        <v>3988</v>
      </c>
      <c r="Q77" s="356">
        <v>14637</v>
      </c>
      <c r="R77" s="356"/>
      <c r="S77" s="356"/>
      <c r="T77" s="356">
        <f t="shared" si="84"/>
        <v>3988</v>
      </c>
      <c r="U77" s="356">
        <f t="shared" si="75"/>
        <v>14637</v>
      </c>
      <c r="V77" s="356"/>
      <c r="W77" s="356"/>
      <c r="X77" s="356">
        <v>2653</v>
      </c>
      <c r="Y77" s="356">
        <f t="shared" si="85"/>
        <v>6641</v>
      </c>
      <c r="Z77" s="356">
        <f t="shared" si="76"/>
        <v>14637</v>
      </c>
      <c r="AA77" s="356"/>
      <c r="AB77" s="356">
        <f t="shared" si="77"/>
        <v>14637</v>
      </c>
      <c r="AC77" s="356"/>
      <c r="AD77" s="356">
        <v>14637</v>
      </c>
      <c r="AE77" s="356"/>
      <c r="AF77" s="356">
        <v>14098</v>
      </c>
      <c r="AG77" s="355">
        <f t="shared" si="91"/>
        <v>39474</v>
      </c>
      <c r="AH77" s="355">
        <f t="shared" si="91"/>
        <v>0</v>
      </c>
      <c r="AI77" s="355">
        <f t="shared" si="92"/>
        <v>39474</v>
      </c>
      <c r="AJ77" s="355">
        <f t="shared" si="92"/>
        <v>0</v>
      </c>
      <c r="AK77" s="355">
        <f>F77+P77+Z77</f>
        <v>39474</v>
      </c>
      <c r="AL77" s="355">
        <f>J77+S77+AA77</f>
        <v>0</v>
      </c>
      <c r="AM77" s="355">
        <f>F77+T77+AD77</f>
        <v>39474</v>
      </c>
      <c r="AN77" s="355"/>
      <c r="AO77" s="355">
        <f t="shared" si="93"/>
        <v>32702</v>
      </c>
      <c r="AP77" s="355">
        <f t="shared" si="96"/>
        <v>0</v>
      </c>
      <c r="AQ77" s="355">
        <f t="shared" si="97"/>
        <v>32702</v>
      </c>
    </row>
    <row r="78" spans="1:43" s="246" customFormat="1" ht="37.5" customHeight="1">
      <c r="A78" s="604" t="s">
        <v>657</v>
      </c>
      <c r="B78" s="356"/>
      <c r="C78" s="356"/>
      <c r="D78" s="356"/>
      <c r="E78" s="356"/>
      <c r="F78" s="356"/>
      <c r="G78" s="356">
        <f>6620-3404</f>
        <v>3216</v>
      </c>
      <c r="H78" s="356"/>
      <c r="I78" s="356"/>
      <c r="J78" s="356"/>
      <c r="K78" s="356"/>
      <c r="L78" s="356"/>
      <c r="M78" s="356"/>
      <c r="N78" s="356"/>
      <c r="O78" s="356"/>
      <c r="P78" s="356"/>
      <c r="Q78" s="356"/>
      <c r="R78" s="356"/>
      <c r="S78" s="356"/>
      <c r="T78" s="356"/>
      <c r="U78" s="356"/>
      <c r="V78" s="356"/>
      <c r="W78" s="356"/>
      <c r="X78" s="356">
        <f>1085-685</f>
        <v>400</v>
      </c>
      <c r="Y78" s="356"/>
      <c r="Z78" s="356"/>
      <c r="AA78" s="356"/>
      <c r="AB78" s="356"/>
      <c r="AC78" s="356"/>
      <c r="AD78" s="356"/>
      <c r="AE78" s="356"/>
      <c r="AF78" s="356">
        <v>1384</v>
      </c>
      <c r="AG78" s="355"/>
      <c r="AH78" s="355"/>
      <c r="AI78" s="355"/>
      <c r="AJ78" s="355"/>
      <c r="AK78" s="355"/>
      <c r="AL78" s="355"/>
      <c r="AM78" s="355"/>
      <c r="AN78" s="355"/>
      <c r="AO78" s="355">
        <f t="shared" si="93"/>
        <v>5000</v>
      </c>
      <c r="AP78" s="355">
        <f t="shared" si="96"/>
        <v>0</v>
      </c>
      <c r="AQ78" s="355">
        <f t="shared" si="97"/>
        <v>5000</v>
      </c>
    </row>
    <row r="79" spans="1:43" s="246" customFormat="1" ht="45.75" customHeight="1">
      <c r="A79" s="605" t="s">
        <v>436</v>
      </c>
      <c r="B79" s="355">
        <v>1234</v>
      </c>
      <c r="C79" s="355"/>
      <c r="D79" s="356">
        <f t="shared" si="89"/>
        <v>1234</v>
      </c>
      <c r="E79" s="356"/>
      <c r="F79" s="356">
        <v>1234</v>
      </c>
      <c r="G79" s="356">
        <v>265</v>
      </c>
      <c r="H79" s="363">
        <v>603</v>
      </c>
      <c r="I79" s="363"/>
      <c r="J79" s="363"/>
      <c r="K79" s="356">
        <f t="shared" si="81"/>
        <v>1234</v>
      </c>
      <c r="L79" s="356">
        <f t="shared" si="90"/>
        <v>603</v>
      </c>
      <c r="M79" s="356"/>
      <c r="N79" s="356"/>
      <c r="O79" s="356">
        <f t="shared" si="82"/>
        <v>1234</v>
      </c>
      <c r="P79" s="356">
        <f t="shared" si="83"/>
        <v>603</v>
      </c>
      <c r="Q79" s="363">
        <v>717</v>
      </c>
      <c r="R79" s="363"/>
      <c r="S79" s="363"/>
      <c r="T79" s="356">
        <f t="shared" si="84"/>
        <v>603</v>
      </c>
      <c r="U79" s="356">
        <f t="shared" si="75"/>
        <v>717</v>
      </c>
      <c r="V79" s="356"/>
      <c r="W79" s="356"/>
      <c r="X79" s="356">
        <v>42</v>
      </c>
      <c r="Y79" s="356">
        <f t="shared" si="85"/>
        <v>645</v>
      </c>
      <c r="Z79" s="356">
        <f t="shared" si="76"/>
        <v>717</v>
      </c>
      <c r="AA79" s="356"/>
      <c r="AB79" s="356">
        <f t="shared" si="77"/>
        <v>717</v>
      </c>
      <c r="AC79" s="356"/>
      <c r="AD79" s="356">
        <v>717</v>
      </c>
      <c r="AE79" s="356"/>
      <c r="AF79" s="356">
        <v>3360</v>
      </c>
      <c r="AG79" s="355">
        <f t="shared" ref="AG79:AH82" si="98">B79+H79+Q79</f>
        <v>2554</v>
      </c>
      <c r="AH79" s="355">
        <f t="shared" si="98"/>
        <v>0</v>
      </c>
      <c r="AI79" s="355">
        <f t="shared" ref="AI79:AJ82" si="99">D79+L79+U79</f>
        <v>2554</v>
      </c>
      <c r="AJ79" s="355">
        <f t="shared" si="99"/>
        <v>0</v>
      </c>
      <c r="AK79" s="355">
        <f>F79+P79+Z79</f>
        <v>2554</v>
      </c>
      <c r="AL79" s="355">
        <f>J79+S79+AA79</f>
        <v>0</v>
      </c>
      <c r="AM79" s="355">
        <f>F79+T79+AD79</f>
        <v>2554</v>
      </c>
      <c r="AN79" s="355"/>
      <c r="AO79" s="355">
        <f t="shared" si="93"/>
        <v>3667</v>
      </c>
      <c r="AP79" s="355">
        <f t="shared" si="96"/>
        <v>0</v>
      </c>
      <c r="AQ79" s="355">
        <f t="shared" si="97"/>
        <v>3667</v>
      </c>
    </row>
    <row r="80" spans="1:43" s="246" customFormat="1" ht="51" customHeight="1">
      <c r="A80" s="605" t="s">
        <v>437</v>
      </c>
      <c r="B80" s="363">
        <v>373</v>
      </c>
      <c r="C80" s="363"/>
      <c r="D80" s="356">
        <f t="shared" si="89"/>
        <v>373</v>
      </c>
      <c r="E80" s="356"/>
      <c r="F80" s="356">
        <v>373</v>
      </c>
      <c r="G80" s="356">
        <v>75</v>
      </c>
      <c r="H80" s="363">
        <v>170</v>
      </c>
      <c r="I80" s="363"/>
      <c r="J80" s="363"/>
      <c r="K80" s="356">
        <f t="shared" si="81"/>
        <v>373</v>
      </c>
      <c r="L80" s="356">
        <f t="shared" si="90"/>
        <v>170</v>
      </c>
      <c r="M80" s="356"/>
      <c r="N80" s="356"/>
      <c r="O80" s="356">
        <f t="shared" si="82"/>
        <v>373</v>
      </c>
      <c r="P80" s="356">
        <f t="shared" si="83"/>
        <v>170</v>
      </c>
      <c r="Q80" s="363">
        <v>387</v>
      </c>
      <c r="R80" s="363"/>
      <c r="S80" s="363"/>
      <c r="T80" s="356">
        <f t="shared" si="84"/>
        <v>170</v>
      </c>
      <c r="U80" s="356">
        <f t="shared" si="75"/>
        <v>387</v>
      </c>
      <c r="V80" s="356"/>
      <c r="W80" s="356"/>
      <c r="X80" s="356">
        <v>12</v>
      </c>
      <c r="Y80" s="356">
        <f t="shared" si="85"/>
        <v>182</v>
      </c>
      <c r="Z80" s="356">
        <f t="shared" si="76"/>
        <v>387</v>
      </c>
      <c r="AA80" s="356"/>
      <c r="AB80" s="356">
        <v>387</v>
      </c>
      <c r="AC80" s="356"/>
      <c r="AD80" s="356">
        <v>559</v>
      </c>
      <c r="AE80" s="356"/>
      <c r="AF80" s="356">
        <v>460</v>
      </c>
      <c r="AG80" s="355">
        <f t="shared" si="98"/>
        <v>930</v>
      </c>
      <c r="AH80" s="355">
        <f t="shared" si="98"/>
        <v>0</v>
      </c>
      <c r="AI80" s="355">
        <f t="shared" si="99"/>
        <v>930</v>
      </c>
      <c r="AJ80" s="355">
        <f t="shared" si="99"/>
        <v>0</v>
      </c>
      <c r="AK80" s="355">
        <f>F80+P80+Z80</f>
        <v>930</v>
      </c>
      <c r="AL80" s="355">
        <f>J80+S80+AA80</f>
        <v>0</v>
      </c>
      <c r="AM80" s="355">
        <f>F80+T80+AD80</f>
        <v>1102</v>
      </c>
      <c r="AN80" s="355"/>
      <c r="AO80" s="355">
        <f t="shared" si="93"/>
        <v>547</v>
      </c>
      <c r="AP80" s="355">
        <f t="shared" si="96"/>
        <v>0</v>
      </c>
      <c r="AQ80" s="355">
        <f t="shared" si="97"/>
        <v>547</v>
      </c>
    </row>
    <row r="81" spans="1:43" s="246" customFormat="1" ht="42.75">
      <c r="A81" s="605" t="s">
        <v>438</v>
      </c>
      <c r="B81" s="363">
        <v>935</v>
      </c>
      <c r="C81" s="363"/>
      <c r="D81" s="356">
        <f t="shared" si="89"/>
        <v>935</v>
      </c>
      <c r="E81" s="356"/>
      <c r="F81" s="356">
        <v>935</v>
      </c>
      <c r="G81" s="356">
        <v>189</v>
      </c>
      <c r="H81" s="363">
        <v>429</v>
      </c>
      <c r="I81" s="363"/>
      <c r="J81" s="363"/>
      <c r="K81" s="356">
        <f t="shared" si="81"/>
        <v>935</v>
      </c>
      <c r="L81" s="356">
        <f t="shared" si="90"/>
        <v>429</v>
      </c>
      <c r="M81" s="356"/>
      <c r="N81" s="356"/>
      <c r="O81" s="356">
        <f t="shared" si="82"/>
        <v>935</v>
      </c>
      <c r="P81" s="356">
        <f t="shared" si="83"/>
        <v>429</v>
      </c>
      <c r="Q81" s="363">
        <v>523</v>
      </c>
      <c r="R81" s="363"/>
      <c r="S81" s="363"/>
      <c r="T81" s="356">
        <f t="shared" si="84"/>
        <v>429</v>
      </c>
      <c r="U81" s="356">
        <f t="shared" si="75"/>
        <v>523</v>
      </c>
      <c r="V81" s="356"/>
      <c r="W81" s="356"/>
      <c r="X81" s="356">
        <v>30</v>
      </c>
      <c r="Y81" s="356">
        <f t="shared" si="85"/>
        <v>459</v>
      </c>
      <c r="Z81" s="356">
        <f t="shared" si="76"/>
        <v>523</v>
      </c>
      <c r="AA81" s="356"/>
      <c r="AB81" s="356">
        <f t="shared" si="77"/>
        <v>523</v>
      </c>
      <c r="AC81" s="356"/>
      <c r="AD81" s="356">
        <v>523</v>
      </c>
      <c r="AE81" s="356"/>
      <c r="AF81" s="356">
        <v>528</v>
      </c>
      <c r="AG81" s="355">
        <f t="shared" si="98"/>
        <v>1887</v>
      </c>
      <c r="AH81" s="355">
        <f t="shared" si="98"/>
        <v>0</v>
      </c>
      <c r="AI81" s="355">
        <f t="shared" si="99"/>
        <v>1887</v>
      </c>
      <c r="AJ81" s="355">
        <f t="shared" si="99"/>
        <v>0</v>
      </c>
      <c r="AK81" s="355">
        <f>F81+P81+Z81</f>
        <v>1887</v>
      </c>
      <c r="AL81" s="355">
        <f>J81+S81+AA81</f>
        <v>0</v>
      </c>
      <c r="AM81" s="355">
        <f>F81+T81+AD81</f>
        <v>1887</v>
      </c>
      <c r="AN81" s="355"/>
      <c r="AO81" s="355">
        <f t="shared" si="93"/>
        <v>747</v>
      </c>
      <c r="AP81" s="355">
        <f t="shared" si="96"/>
        <v>0</v>
      </c>
      <c r="AQ81" s="355">
        <f t="shared" si="97"/>
        <v>747</v>
      </c>
    </row>
    <row r="82" spans="1:43" s="246" customFormat="1" ht="28.5">
      <c r="A82" s="606" t="s">
        <v>445</v>
      </c>
      <c r="B82" s="355">
        <v>14887</v>
      </c>
      <c r="C82" s="355"/>
      <c r="D82" s="356">
        <f t="shared" si="89"/>
        <v>14887</v>
      </c>
      <c r="E82" s="356"/>
      <c r="F82" s="356">
        <v>14887</v>
      </c>
      <c r="G82" s="356">
        <v>10336</v>
      </c>
      <c r="H82" s="355">
        <v>2613</v>
      </c>
      <c r="I82" s="355"/>
      <c r="J82" s="355"/>
      <c r="K82" s="356">
        <f t="shared" si="81"/>
        <v>14887</v>
      </c>
      <c r="L82" s="356">
        <f t="shared" si="90"/>
        <v>2613</v>
      </c>
      <c r="M82" s="356"/>
      <c r="N82" s="356"/>
      <c r="O82" s="356">
        <f t="shared" si="82"/>
        <v>14887</v>
      </c>
      <c r="P82" s="356">
        <f t="shared" si="83"/>
        <v>2613</v>
      </c>
      <c r="Q82" s="355">
        <v>33979</v>
      </c>
      <c r="R82" s="355"/>
      <c r="S82" s="355"/>
      <c r="T82" s="356">
        <f t="shared" si="84"/>
        <v>2613</v>
      </c>
      <c r="U82" s="356">
        <f t="shared" si="75"/>
        <v>33979</v>
      </c>
      <c r="V82" s="356"/>
      <c r="W82" s="356"/>
      <c r="X82" s="356">
        <v>1766</v>
      </c>
      <c r="Y82" s="356">
        <f t="shared" si="85"/>
        <v>4379</v>
      </c>
      <c r="Z82" s="356">
        <f t="shared" si="76"/>
        <v>33979</v>
      </c>
      <c r="AA82" s="356"/>
      <c r="AB82" s="356">
        <f t="shared" si="77"/>
        <v>33979</v>
      </c>
      <c r="AC82" s="356"/>
      <c r="AD82" s="356">
        <v>33979</v>
      </c>
      <c r="AE82" s="356"/>
      <c r="AF82" s="356">
        <v>8004</v>
      </c>
      <c r="AG82" s="355">
        <f t="shared" si="98"/>
        <v>51479</v>
      </c>
      <c r="AH82" s="355">
        <f t="shared" si="98"/>
        <v>0</v>
      </c>
      <c r="AI82" s="355">
        <f t="shared" si="99"/>
        <v>51479</v>
      </c>
      <c r="AJ82" s="355">
        <f t="shared" si="99"/>
        <v>0</v>
      </c>
      <c r="AK82" s="355">
        <f>F82+P82+Z82</f>
        <v>51479</v>
      </c>
      <c r="AL82" s="355">
        <f>J82+S82+AA82</f>
        <v>0</v>
      </c>
      <c r="AM82" s="355">
        <f>F82+T82+AD82</f>
        <v>51479</v>
      </c>
      <c r="AN82" s="355"/>
      <c r="AO82" s="355">
        <f t="shared" si="93"/>
        <v>20106</v>
      </c>
      <c r="AP82" s="355">
        <f t="shared" si="96"/>
        <v>0</v>
      </c>
      <c r="AQ82" s="355">
        <f t="shared" si="97"/>
        <v>20106</v>
      </c>
    </row>
    <row r="83" spans="1:43" s="246" customFormat="1" ht="28.5">
      <c r="A83" s="606" t="s">
        <v>797</v>
      </c>
      <c r="B83" s="355"/>
      <c r="C83" s="355"/>
      <c r="D83" s="356"/>
      <c r="E83" s="356"/>
      <c r="F83" s="356"/>
      <c r="G83" s="356"/>
      <c r="H83" s="355"/>
      <c r="I83" s="355"/>
      <c r="J83" s="355"/>
      <c r="K83" s="356"/>
      <c r="L83" s="356"/>
      <c r="M83" s="356"/>
      <c r="N83" s="356"/>
      <c r="O83" s="356"/>
      <c r="P83" s="356"/>
      <c r="Q83" s="355"/>
      <c r="R83" s="355"/>
      <c r="S83" s="355"/>
      <c r="T83" s="356"/>
      <c r="U83" s="356"/>
      <c r="V83" s="356"/>
      <c r="W83" s="356"/>
      <c r="X83" s="356"/>
      <c r="Y83" s="356"/>
      <c r="Z83" s="356"/>
      <c r="AA83" s="356"/>
      <c r="AB83" s="356"/>
      <c r="AC83" s="356"/>
      <c r="AD83" s="356"/>
      <c r="AE83" s="356"/>
      <c r="AF83" s="356">
        <v>1347</v>
      </c>
      <c r="AG83" s="355"/>
      <c r="AH83" s="355"/>
      <c r="AI83" s="355"/>
      <c r="AJ83" s="355"/>
      <c r="AK83" s="355"/>
      <c r="AL83" s="355"/>
      <c r="AM83" s="355"/>
      <c r="AN83" s="355"/>
      <c r="AO83" s="355">
        <f t="shared" si="93"/>
        <v>1347</v>
      </c>
      <c r="AP83" s="355">
        <f t="shared" si="96"/>
        <v>0</v>
      </c>
      <c r="AQ83" s="355">
        <f t="shared" si="97"/>
        <v>1347</v>
      </c>
    </row>
    <row r="84" spans="1:43" s="246" customFormat="1" ht="28.5">
      <c r="A84" s="606" t="s">
        <v>453</v>
      </c>
      <c r="B84" s="355">
        <v>5592</v>
      </c>
      <c r="C84" s="355"/>
      <c r="D84" s="356">
        <f t="shared" si="89"/>
        <v>5592</v>
      </c>
      <c r="E84" s="356"/>
      <c r="F84" s="356">
        <v>5592</v>
      </c>
      <c r="G84" s="356">
        <v>1582</v>
      </c>
      <c r="H84" s="355">
        <v>981</v>
      </c>
      <c r="I84" s="355"/>
      <c r="J84" s="355"/>
      <c r="K84" s="356">
        <f t="shared" si="81"/>
        <v>5592</v>
      </c>
      <c r="L84" s="356">
        <f t="shared" si="90"/>
        <v>981</v>
      </c>
      <c r="M84" s="356"/>
      <c r="N84" s="356"/>
      <c r="O84" s="356">
        <f t="shared" si="82"/>
        <v>5592</v>
      </c>
      <c r="P84" s="356">
        <f t="shared" si="83"/>
        <v>981</v>
      </c>
      <c r="Q84" s="355">
        <v>3453</v>
      </c>
      <c r="R84" s="355"/>
      <c r="S84" s="355"/>
      <c r="T84" s="356">
        <f t="shared" si="84"/>
        <v>981</v>
      </c>
      <c r="U84" s="356">
        <f t="shared" si="75"/>
        <v>3453</v>
      </c>
      <c r="V84" s="356"/>
      <c r="W84" s="356"/>
      <c r="X84" s="356">
        <v>761</v>
      </c>
      <c r="Y84" s="356">
        <f t="shared" si="85"/>
        <v>1742</v>
      </c>
      <c r="Z84" s="356">
        <f t="shared" si="76"/>
        <v>3453</v>
      </c>
      <c r="AA84" s="356"/>
      <c r="AB84" s="356">
        <f t="shared" si="77"/>
        <v>3453</v>
      </c>
      <c r="AC84" s="356"/>
      <c r="AD84" s="356">
        <v>3453</v>
      </c>
      <c r="AE84" s="356"/>
      <c r="AF84" s="356">
        <v>405</v>
      </c>
      <c r="AG84" s="355">
        <f>B84+H84+Q84</f>
        <v>10026</v>
      </c>
      <c r="AH84" s="355">
        <f>C84+I84+R84</f>
        <v>0</v>
      </c>
      <c r="AI84" s="355">
        <f>D84+L84+U84</f>
        <v>10026</v>
      </c>
      <c r="AJ84" s="355">
        <f>E84+M84+V84</f>
        <v>0</v>
      </c>
      <c r="AK84" s="355">
        <f>F84+P84+Z84</f>
        <v>10026</v>
      </c>
      <c r="AL84" s="355">
        <f>J84+S84+AA84</f>
        <v>0</v>
      </c>
      <c r="AM84" s="355">
        <f t="shared" ref="AM84:AM89" si="100">F84+T84+AD84</f>
        <v>10026</v>
      </c>
      <c r="AN84" s="355"/>
      <c r="AO84" s="355">
        <f t="shared" si="93"/>
        <v>2748</v>
      </c>
      <c r="AP84" s="355">
        <f t="shared" si="96"/>
        <v>0</v>
      </c>
      <c r="AQ84" s="355">
        <f t="shared" si="97"/>
        <v>2748</v>
      </c>
    </row>
    <row r="85" spans="1:43" s="246" customFormat="1" ht="15.75">
      <c r="A85" s="607" t="s">
        <v>578</v>
      </c>
      <c r="B85" s="355"/>
      <c r="C85" s="355"/>
      <c r="D85" s="356"/>
      <c r="E85" s="356"/>
      <c r="F85" s="356">
        <v>0</v>
      </c>
      <c r="G85" s="356"/>
      <c r="H85" s="355"/>
      <c r="I85" s="355"/>
      <c r="J85" s="355"/>
      <c r="K85" s="356"/>
      <c r="L85" s="356"/>
      <c r="M85" s="356"/>
      <c r="N85" s="356"/>
      <c r="O85" s="356">
        <f t="shared" si="82"/>
        <v>0</v>
      </c>
      <c r="P85" s="356"/>
      <c r="Q85" s="355"/>
      <c r="R85" s="355"/>
      <c r="S85" s="355"/>
      <c r="T85" s="356"/>
      <c r="U85" s="356"/>
      <c r="V85" s="356"/>
      <c r="W85" s="356"/>
      <c r="X85" s="356"/>
      <c r="Y85" s="356">
        <f t="shared" si="85"/>
        <v>0</v>
      </c>
      <c r="Z85" s="356"/>
      <c r="AA85" s="356">
        <v>2353</v>
      </c>
      <c r="AB85" s="356"/>
      <c r="AC85" s="356"/>
      <c r="AD85" s="356">
        <v>2353</v>
      </c>
      <c r="AE85" s="356"/>
      <c r="AF85" s="356"/>
      <c r="AG85" s="355"/>
      <c r="AH85" s="355"/>
      <c r="AI85" s="355"/>
      <c r="AJ85" s="355"/>
      <c r="AK85" s="355"/>
      <c r="AL85" s="355">
        <f>J85+S85+AA85</f>
        <v>2353</v>
      </c>
      <c r="AM85" s="355">
        <f t="shared" si="100"/>
        <v>2353</v>
      </c>
      <c r="AN85" s="355"/>
      <c r="AO85" s="355">
        <f t="shared" si="93"/>
        <v>0</v>
      </c>
      <c r="AP85" s="355">
        <f t="shared" si="96"/>
        <v>0</v>
      </c>
      <c r="AQ85" s="355">
        <f t="shared" si="97"/>
        <v>0</v>
      </c>
    </row>
    <row r="86" spans="1:43" s="246" customFormat="1" ht="28.5">
      <c r="A86" s="627" t="s">
        <v>1018</v>
      </c>
      <c r="B86" s="355"/>
      <c r="C86" s="355"/>
      <c r="D86" s="356"/>
      <c r="E86" s="356"/>
      <c r="F86" s="356">
        <v>0</v>
      </c>
      <c r="G86" s="356"/>
      <c r="H86" s="355"/>
      <c r="I86" s="355"/>
      <c r="J86" s="355"/>
      <c r="K86" s="356"/>
      <c r="L86" s="356"/>
      <c r="M86" s="356"/>
      <c r="N86" s="356"/>
      <c r="O86" s="356">
        <f t="shared" si="82"/>
        <v>0</v>
      </c>
      <c r="P86" s="356"/>
      <c r="Q86" s="355"/>
      <c r="R86" s="355"/>
      <c r="S86" s="355"/>
      <c r="T86" s="356"/>
      <c r="U86" s="356"/>
      <c r="V86" s="356"/>
      <c r="W86" s="356"/>
      <c r="X86" s="356"/>
      <c r="Y86" s="356">
        <f t="shared" si="85"/>
        <v>0</v>
      </c>
      <c r="Z86" s="356"/>
      <c r="AA86" s="356">
        <v>750</v>
      </c>
      <c r="AB86" s="356"/>
      <c r="AC86" s="356"/>
      <c r="AD86" s="356">
        <v>750</v>
      </c>
      <c r="AE86" s="356"/>
      <c r="AF86" s="356">
        <v>3402</v>
      </c>
      <c r="AG86" s="355"/>
      <c r="AH86" s="355"/>
      <c r="AI86" s="355"/>
      <c r="AJ86" s="355"/>
      <c r="AK86" s="355"/>
      <c r="AL86" s="355">
        <f>J86+S86+AA86</f>
        <v>750</v>
      </c>
      <c r="AM86" s="355">
        <f t="shared" si="100"/>
        <v>750</v>
      </c>
      <c r="AN86" s="355"/>
      <c r="AO86" s="355">
        <f t="shared" si="93"/>
        <v>3402</v>
      </c>
      <c r="AP86" s="355">
        <f t="shared" si="96"/>
        <v>0</v>
      </c>
      <c r="AQ86" s="355">
        <f t="shared" si="97"/>
        <v>3402</v>
      </c>
    </row>
    <row r="87" spans="1:43" s="246" customFormat="1" ht="28.5">
      <c r="A87" s="430" t="s">
        <v>584</v>
      </c>
      <c r="B87" s="431"/>
      <c r="C87" s="355"/>
      <c r="D87" s="356"/>
      <c r="E87" s="356"/>
      <c r="F87" s="356">
        <v>432</v>
      </c>
      <c r="G87" s="356"/>
      <c r="H87" s="355"/>
      <c r="I87" s="355"/>
      <c r="J87" s="355"/>
      <c r="K87" s="356">
        <v>432</v>
      </c>
      <c r="L87" s="356"/>
      <c r="M87" s="356"/>
      <c r="N87" s="356"/>
      <c r="O87" s="356">
        <f t="shared" si="82"/>
        <v>432</v>
      </c>
      <c r="P87" s="356"/>
      <c r="Q87" s="355"/>
      <c r="R87" s="355"/>
      <c r="S87" s="355"/>
      <c r="T87" s="356"/>
      <c r="U87" s="356"/>
      <c r="V87" s="356"/>
      <c r="W87" s="356"/>
      <c r="X87" s="356"/>
      <c r="Y87" s="356">
        <f t="shared" si="85"/>
        <v>0</v>
      </c>
      <c r="Z87" s="356"/>
      <c r="AA87" s="356"/>
      <c r="AB87" s="356"/>
      <c r="AC87" s="356"/>
      <c r="AD87" s="356">
        <v>19540</v>
      </c>
      <c r="AE87" s="356"/>
      <c r="AF87" s="356">
        <v>656</v>
      </c>
      <c r="AG87" s="355"/>
      <c r="AH87" s="355"/>
      <c r="AI87" s="355"/>
      <c r="AJ87" s="355"/>
      <c r="AK87" s="355"/>
      <c r="AL87" s="355"/>
      <c r="AM87" s="355">
        <f t="shared" si="100"/>
        <v>19972</v>
      </c>
      <c r="AN87" s="355"/>
      <c r="AO87" s="355">
        <f t="shared" si="93"/>
        <v>656</v>
      </c>
      <c r="AP87" s="355">
        <f t="shared" si="96"/>
        <v>0</v>
      </c>
      <c r="AQ87" s="355">
        <f t="shared" si="97"/>
        <v>656</v>
      </c>
    </row>
    <row r="88" spans="1:43" s="246" customFormat="1" ht="15.75">
      <c r="A88" s="607" t="s">
        <v>611</v>
      </c>
      <c r="B88" s="431"/>
      <c r="C88" s="355"/>
      <c r="D88" s="356"/>
      <c r="E88" s="356"/>
      <c r="F88" s="356">
        <v>662</v>
      </c>
      <c r="G88" s="356">
        <f>1324+330</f>
        <v>1654</v>
      </c>
      <c r="H88" s="355"/>
      <c r="I88" s="355"/>
      <c r="J88" s="355"/>
      <c r="K88" s="356">
        <v>662</v>
      </c>
      <c r="L88" s="356"/>
      <c r="M88" s="356"/>
      <c r="N88" s="356"/>
      <c r="O88" s="356">
        <f t="shared" si="82"/>
        <v>662</v>
      </c>
      <c r="P88" s="356"/>
      <c r="Q88" s="355"/>
      <c r="R88" s="355"/>
      <c r="S88" s="355"/>
      <c r="T88" s="356">
        <v>116</v>
      </c>
      <c r="U88" s="356"/>
      <c r="V88" s="356"/>
      <c r="W88" s="356"/>
      <c r="X88" s="356">
        <f>232+58</f>
        <v>290</v>
      </c>
      <c r="Y88" s="356">
        <f t="shared" si="85"/>
        <v>406</v>
      </c>
      <c r="Z88" s="356"/>
      <c r="AA88" s="356"/>
      <c r="AB88" s="356"/>
      <c r="AC88" s="356"/>
      <c r="AD88" s="356">
        <v>2172</v>
      </c>
      <c r="AE88" s="356"/>
      <c r="AF88" s="356">
        <f>4344+989</f>
        <v>5333</v>
      </c>
      <c r="AG88" s="355"/>
      <c r="AH88" s="355"/>
      <c r="AI88" s="355"/>
      <c r="AJ88" s="355"/>
      <c r="AK88" s="355"/>
      <c r="AL88" s="355"/>
      <c r="AM88" s="355">
        <f t="shared" si="100"/>
        <v>2950</v>
      </c>
      <c r="AN88" s="355"/>
      <c r="AO88" s="355">
        <f t="shared" si="93"/>
        <v>7277</v>
      </c>
      <c r="AP88" s="355">
        <f t="shared" si="96"/>
        <v>0</v>
      </c>
      <c r="AQ88" s="355">
        <f t="shared" si="97"/>
        <v>7277</v>
      </c>
    </row>
    <row r="89" spans="1:43" s="246" customFormat="1" ht="15.75">
      <c r="A89" s="607" t="s">
        <v>612</v>
      </c>
      <c r="B89" s="355"/>
      <c r="C89" s="355"/>
      <c r="D89" s="356"/>
      <c r="E89" s="356"/>
      <c r="F89" s="356">
        <v>390</v>
      </c>
      <c r="G89" s="356">
        <f>780+1500</f>
        <v>2280</v>
      </c>
      <c r="H89" s="355"/>
      <c r="I89" s="355"/>
      <c r="J89" s="355"/>
      <c r="K89" s="356">
        <v>390</v>
      </c>
      <c r="L89" s="356"/>
      <c r="M89" s="356"/>
      <c r="N89" s="356"/>
      <c r="O89" s="356">
        <f t="shared" si="82"/>
        <v>390</v>
      </c>
      <c r="P89" s="356"/>
      <c r="Q89" s="355"/>
      <c r="R89" s="355"/>
      <c r="S89" s="355"/>
      <c r="T89" s="356">
        <v>69</v>
      </c>
      <c r="U89" s="356"/>
      <c r="V89" s="356"/>
      <c r="W89" s="356"/>
      <c r="X89" s="356">
        <v>138</v>
      </c>
      <c r="Y89" s="356">
        <f t="shared" si="85"/>
        <v>207</v>
      </c>
      <c r="Z89" s="356"/>
      <c r="AA89" s="356"/>
      <c r="AB89" s="356"/>
      <c r="AC89" s="356"/>
      <c r="AD89" s="356">
        <v>1741</v>
      </c>
      <c r="AE89" s="356"/>
      <c r="AF89" s="356">
        <f>3482+376</f>
        <v>3858</v>
      </c>
      <c r="AG89" s="355"/>
      <c r="AH89" s="355"/>
      <c r="AI89" s="355"/>
      <c r="AJ89" s="355"/>
      <c r="AK89" s="355"/>
      <c r="AL89" s="355"/>
      <c r="AM89" s="355">
        <f t="shared" si="100"/>
        <v>2200</v>
      </c>
      <c r="AN89" s="355"/>
      <c r="AO89" s="355">
        <f t="shared" si="93"/>
        <v>6276</v>
      </c>
      <c r="AP89" s="355">
        <f t="shared" si="96"/>
        <v>0</v>
      </c>
      <c r="AQ89" s="355">
        <f t="shared" si="97"/>
        <v>6276</v>
      </c>
    </row>
    <row r="90" spans="1:43" s="246" customFormat="1" ht="28.5">
      <c r="A90" s="608" t="s">
        <v>658</v>
      </c>
      <c r="B90" s="355"/>
      <c r="C90" s="355"/>
      <c r="D90" s="356"/>
      <c r="E90" s="356"/>
      <c r="F90" s="356"/>
      <c r="G90" s="356"/>
      <c r="H90" s="355"/>
      <c r="I90" s="355"/>
      <c r="J90" s="355"/>
      <c r="K90" s="356"/>
      <c r="L90" s="356"/>
      <c r="M90" s="356"/>
      <c r="N90" s="356"/>
      <c r="O90" s="356"/>
      <c r="P90" s="356"/>
      <c r="Q90" s="355"/>
      <c r="R90" s="355"/>
      <c r="S90" s="355"/>
      <c r="T90" s="356"/>
      <c r="U90" s="356"/>
      <c r="V90" s="356"/>
      <c r="W90" s="356"/>
      <c r="X90" s="356"/>
      <c r="Y90" s="356"/>
      <c r="Z90" s="356"/>
      <c r="AA90" s="356"/>
      <c r="AB90" s="356"/>
      <c r="AC90" s="356"/>
      <c r="AD90" s="356"/>
      <c r="AE90" s="356"/>
      <c r="AF90" s="356">
        <v>1870</v>
      </c>
      <c r="AG90" s="355"/>
      <c r="AH90" s="355"/>
      <c r="AI90" s="355"/>
      <c r="AJ90" s="355"/>
      <c r="AK90" s="355"/>
      <c r="AL90" s="355"/>
      <c r="AM90" s="355"/>
      <c r="AN90" s="355"/>
      <c r="AO90" s="355">
        <f t="shared" si="93"/>
        <v>1870</v>
      </c>
      <c r="AP90" s="355">
        <f t="shared" si="96"/>
        <v>0</v>
      </c>
      <c r="AQ90" s="355">
        <f t="shared" si="97"/>
        <v>1870</v>
      </c>
    </row>
    <row r="91" spans="1:43" s="246" customFormat="1" ht="15.75">
      <c r="A91" s="608" t="s">
        <v>675</v>
      </c>
      <c r="B91" s="355">
        <v>0</v>
      </c>
      <c r="C91" s="355"/>
      <c r="D91" s="356"/>
      <c r="E91" s="356"/>
      <c r="F91" s="356"/>
      <c r="G91" s="356">
        <v>1207</v>
      </c>
      <c r="H91" s="355"/>
      <c r="I91" s="355"/>
      <c r="J91" s="355"/>
      <c r="K91" s="356"/>
      <c r="L91" s="356"/>
      <c r="M91" s="356"/>
      <c r="N91" s="356"/>
      <c r="O91" s="356"/>
      <c r="P91" s="356"/>
      <c r="Q91" s="355"/>
      <c r="R91" s="355"/>
      <c r="S91" s="355"/>
      <c r="T91" s="356"/>
      <c r="U91" s="356"/>
      <c r="V91" s="356"/>
      <c r="W91" s="356"/>
      <c r="X91" s="356">
        <v>212</v>
      </c>
      <c r="Y91" s="356"/>
      <c r="Z91" s="356"/>
      <c r="AA91" s="356"/>
      <c r="AB91" s="356"/>
      <c r="AC91" s="356"/>
      <c r="AD91" s="356"/>
      <c r="AE91" s="356"/>
      <c r="AF91" s="356">
        <v>1372</v>
      </c>
      <c r="AG91" s="355"/>
      <c r="AH91" s="355"/>
      <c r="AI91" s="355"/>
      <c r="AJ91" s="355"/>
      <c r="AK91" s="355"/>
      <c r="AL91" s="355"/>
      <c r="AM91" s="355"/>
      <c r="AN91" s="355"/>
      <c r="AO91" s="355">
        <f t="shared" si="93"/>
        <v>2791</v>
      </c>
      <c r="AP91" s="355">
        <f t="shared" si="96"/>
        <v>0</v>
      </c>
      <c r="AQ91" s="355">
        <f t="shared" si="97"/>
        <v>2791</v>
      </c>
    </row>
    <row r="92" spans="1:43" s="247" customFormat="1" ht="15.75">
      <c r="A92" s="514" t="s">
        <v>169</v>
      </c>
      <c r="B92" s="425" t="e">
        <f t="shared" ref="B92:AQ92" si="101">SUM(B72:B91)</f>
        <v>#REF!</v>
      </c>
      <c r="C92" s="425" t="e">
        <f t="shared" si="101"/>
        <v>#REF!</v>
      </c>
      <c r="D92" s="425" t="e">
        <f t="shared" si="101"/>
        <v>#REF!</v>
      </c>
      <c r="E92" s="425" t="e">
        <f t="shared" si="101"/>
        <v>#REF!</v>
      </c>
      <c r="F92" s="425" t="e">
        <f t="shared" si="101"/>
        <v>#REF!</v>
      </c>
      <c r="G92" s="425">
        <f t="shared" si="101"/>
        <v>302260</v>
      </c>
      <c r="H92" s="425" t="e">
        <f t="shared" si="101"/>
        <v>#REF!</v>
      </c>
      <c r="I92" s="425" t="e">
        <f t="shared" si="101"/>
        <v>#REF!</v>
      </c>
      <c r="J92" s="425">
        <f t="shared" si="101"/>
        <v>455</v>
      </c>
      <c r="K92" s="425">
        <f t="shared" si="101"/>
        <v>361029</v>
      </c>
      <c r="L92" s="425" t="e">
        <f t="shared" si="101"/>
        <v>#REF!</v>
      </c>
      <c r="M92" s="425">
        <f t="shared" si="101"/>
        <v>0</v>
      </c>
      <c r="N92" s="425">
        <f t="shared" si="101"/>
        <v>481</v>
      </c>
      <c r="O92" s="425">
        <f t="shared" si="101"/>
        <v>361510</v>
      </c>
      <c r="P92" s="425" t="e">
        <f t="shared" si="101"/>
        <v>#REF!</v>
      </c>
      <c r="Q92" s="425" t="e">
        <f t="shared" si="101"/>
        <v>#REF!</v>
      </c>
      <c r="R92" s="425" t="e">
        <f t="shared" si="101"/>
        <v>#REF!</v>
      </c>
      <c r="S92" s="425">
        <f t="shared" si="101"/>
        <v>1</v>
      </c>
      <c r="T92" s="425" t="e">
        <f t="shared" si="101"/>
        <v>#REF!</v>
      </c>
      <c r="U92" s="425" t="e">
        <f t="shared" si="101"/>
        <v>#REF!</v>
      </c>
      <c r="V92" s="425">
        <f t="shared" si="101"/>
        <v>-6090</v>
      </c>
      <c r="W92" s="425">
        <f t="shared" si="101"/>
        <v>1</v>
      </c>
      <c r="X92" s="425">
        <f t="shared" si="101"/>
        <v>40753</v>
      </c>
      <c r="Y92" s="425" t="e">
        <f t="shared" si="101"/>
        <v>#REF!</v>
      </c>
      <c r="Z92" s="425" t="e">
        <f t="shared" si="101"/>
        <v>#REF!</v>
      </c>
      <c r="AA92" s="425">
        <f t="shared" si="101"/>
        <v>5673</v>
      </c>
      <c r="AB92" s="425" t="e">
        <f t="shared" si="101"/>
        <v>#REF!</v>
      </c>
      <c r="AC92" s="425">
        <f t="shared" si="101"/>
        <v>94775</v>
      </c>
      <c r="AD92" s="425">
        <f t="shared" si="101"/>
        <v>832856</v>
      </c>
      <c r="AE92" s="425">
        <f t="shared" si="101"/>
        <v>0</v>
      </c>
      <c r="AF92" s="425">
        <f t="shared" si="101"/>
        <v>566535</v>
      </c>
      <c r="AG92" s="425" t="e">
        <f t="shared" si="101"/>
        <v>#REF!</v>
      </c>
      <c r="AH92" s="425" t="e">
        <f t="shared" si="101"/>
        <v>#REF!</v>
      </c>
      <c r="AI92" s="425" t="e">
        <f t="shared" si="101"/>
        <v>#REF!</v>
      </c>
      <c r="AJ92" s="425">
        <f t="shared" si="101"/>
        <v>-6089</v>
      </c>
      <c r="AK92" s="425" t="e">
        <f t="shared" si="101"/>
        <v>#REF!</v>
      </c>
      <c r="AL92" s="425">
        <f t="shared" si="101"/>
        <v>6129</v>
      </c>
      <c r="AM92" s="425" t="e">
        <f t="shared" si="101"/>
        <v>#REF!</v>
      </c>
      <c r="AN92" s="425">
        <f t="shared" si="101"/>
        <v>-39930</v>
      </c>
      <c r="AO92" s="425">
        <f t="shared" si="101"/>
        <v>909548</v>
      </c>
      <c r="AP92" s="425">
        <f t="shared" si="101"/>
        <v>-39929</v>
      </c>
      <c r="AQ92" s="425">
        <f t="shared" si="101"/>
        <v>869619</v>
      </c>
    </row>
  </sheetData>
  <mergeCells count="6">
    <mergeCell ref="A4:A5"/>
    <mergeCell ref="B4:W4"/>
    <mergeCell ref="X4:AE4"/>
    <mergeCell ref="AF4:AN4"/>
    <mergeCell ref="A2:AQ2"/>
    <mergeCell ref="AO4:AQ4"/>
  </mergeCells>
  <printOptions horizontalCentered="1" verticalCentered="1"/>
  <pageMargins left="0.19685039370078741" right="0.19685039370078741" top="0.15748031496062992" bottom="0.15748031496062992" header="0.19685039370078741" footer="0.19685039370078741"/>
  <pageSetup paperSize="9" scale="88" orientation="landscape" r:id="rId1"/>
  <rowBreaks count="1" manualBreakCount="1">
    <brk id="72" max="42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X35"/>
  <sheetViews>
    <sheetView view="pageBreakPreview" topLeftCell="A13" zoomScaleNormal="100" zoomScaleSheetLayoutView="100" workbookViewId="0">
      <selection activeCell="I17" sqref="I17"/>
    </sheetView>
  </sheetViews>
  <sheetFormatPr defaultRowHeight="12.75"/>
  <cols>
    <col min="1" max="1" width="9.5703125" style="447" customWidth="1"/>
    <col min="2" max="2" width="47.5703125" style="448" customWidth="1"/>
    <col min="3" max="3" width="9.85546875" style="449" customWidth="1"/>
    <col min="4" max="4" width="10.140625" style="448" bestFit="1" customWidth="1"/>
    <col min="5" max="5" width="10.140625" style="448" customWidth="1"/>
    <col min="6" max="6" width="9.85546875" style="448" customWidth="1"/>
    <col min="7" max="7" width="8.42578125" style="448" customWidth="1"/>
    <col min="8" max="9" width="9.28515625" style="450" customWidth="1"/>
    <col min="10" max="10" width="11.140625" style="450" bestFit="1" customWidth="1"/>
    <col min="11" max="11" width="10.28515625" style="450" bestFit="1" customWidth="1"/>
    <col min="12" max="12" width="8.28515625" style="450" customWidth="1"/>
    <col min="13" max="15" width="10.7109375" style="448" customWidth="1"/>
    <col min="16" max="256" width="9.140625" style="448"/>
    <col min="257" max="257" width="11.28515625" style="448" customWidth="1"/>
    <col min="258" max="258" width="37.85546875" style="448" customWidth="1"/>
    <col min="259" max="259" width="9.85546875" style="448" customWidth="1"/>
    <col min="260" max="260" width="10.140625" style="448" bestFit="1" customWidth="1"/>
    <col min="261" max="261" width="8.42578125" style="448" bestFit="1" customWidth="1"/>
    <col min="262" max="262" width="9.28515625" style="448" customWidth="1"/>
    <col min="263" max="263" width="11.140625" style="448" bestFit="1" customWidth="1"/>
    <col min="264" max="264" width="10.28515625" style="448" bestFit="1" customWidth="1"/>
    <col min="265" max="265" width="8.28515625" style="448" customWidth="1"/>
    <col min="266" max="266" width="10.7109375" style="448" customWidth="1"/>
    <col min="267" max="267" width="11.42578125" style="448" customWidth="1"/>
    <col min="268" max="268" width="11.85546875" style="448" bestFit="1" customWidth="1"/>
    <col min="269" max="269" width="11.5703125" style="448" bestFit="1" customWidth="1"/>
    <col min="270" max="270" width="14.85546875" style="448" bestFit="1" customWidth="1"/>
    <col min="271" max="512" width="9.140625" style="448"/>
    <col min="513" max="513" width="11.28515625" style="448" customWidth="1"/>
    <col min="514" max="514" width="37.85546875" style="448" customWidth="1"/>
    <col min="515" max="515" width="9.85546875" style="448" customWidth="1"/>
    <col min="516" max="516" width="10.140625" style="448" bestFit="1" customWidth="1"/>
    <col min="517" max="517" width="8.42578125" style="448" bestFit="1" customWidth="1"/>
    <col min="518" max="518" width="9.28515625" style="448" customWidth="1"/>
    <col min="519" max="519" width="11.140625" style="448" bestFit="1" customWidth="1"/>
    <col min="520" max="520" width="10.28515625" style="448" bestFit="1" customWidth="1"/>
    <col min="521" max="521" width="8.28515625" style="448" customWidth="1"/>
    <col min="522" max="522" width="10.7109375" style="448" customWidth="1"/>
    <col min="523" max="523" width="11.42578125" style="448" customWidth="1"/>
    <col min="524" max="524" width="11.85546875" style="448" bestFit="1" customWidth="1"/>
    <col min="525" max="525" width="11.5703125" style="448" bestFit="1" customWidth="1"/>
    <col min="526" max="526" width="14.85546875" style="448" bestFit="1" customWidth="1"/>
    <col min="527" max="768" width="9.140625" style="448"/>
    <col min="769" max="769" width="11.28515625" style="448" customWidth="1"/>
    <col min="770" max="770" width="37.85546875" style="448" customWidth="1"/>
    <col min="771" max="771" width="9.85546875" style="448" customWidth="1"/>
    <col min="772" max="772" width="10.140625" style="448" bestFit="1" customWidth="1"/>
    <col min="773" max="773" width="8.42578125" style="448" bestFit="1" customWidth="1"/>
    <col min="774" max="774" width="9.28515625" style="448" customWidth="1"/>
    <col min="775" max="775" width="11.140625" style="448" bestFit="1" customWidth="1"/>
    <col min="776" max="776" width="10.28515625" style="448" bestFit="1" customWidth="1"/>
    <col min="777" max="777" width="8.28515625" style="448" customWidth="1"/>
    <col min="778" max="778" width="10.7109375" style="448" customWidth="1"/>
    <col min="779" max="779" width="11.42578125" style="448" customWidth="1"/>
    <col min="780" max="780" width="11.85546875" style="448" bestFit="1" customWidth="1"/>
    <col min="781" max="781" width="11.5703125" style="448" bestFit="1" customWidth="1"/>
    <col min="782" max="782" width="14.85546875" style="448" bestFit="1" customWidth="1"/>
    <col min="783" max="1024" width="9.140625" style="448"/>
    <col min="1025" max="1025" width="11.28515625" style="448" customWidth="1"/>
    <col min="1026" max="1026" width="37.85546875" style="448" customWidth="1"/>
    <col min="1027" max="1027" width="9.85546875" style="448" customWidth="1"/>
    <col min="1028" max="1028" width="10.140625" style="448" bestFit="1" customWidth="1"/>
    <col min="1029" max="1029" width="8.42578125" style="448" bestFit="1" customWidth="1"/>
    <col min="1030" max="1030" width="9.28515625" style="448" customWidth="1"/>
    <col min="1031" max="1031" width="11.140625" style="448" bestFit="1" customWidth="1"/>
    <col min="1032" max="1032" width="10.28515625" style="448" bestFit="1" customWidth="1"/>
    <col min="1033" max="1033" width="8.28515625" style="448" customWidth="1"/>
    <col min="1034" max="1034" width="10.7109375" style="448" customWidth="1"/>
    <col min="1035" max="1035" width="11.42578125" style="448" customWidth="1"/>
    <col min="1036" max="1036" width="11.85546875" style="448" bestFit="1" customWidth="1"/>
    <col min="1037" max="1037" width="11.5703125" style="448" bestFit="1" customWidth="1"/>
    <col min="1038" max="1038" width="14.85546875" style="448" bestFit="1" customWidth="1"/>
    <col min="1039" max="1280" width="9.140625" style="448"/>
    <col min="1281" max="1281" width="11.28515625" style="448" customWidth="1"/>
    <col min="1282" max="1282" width="37.85546875" style="448" customWidth="1"/>
    <col min="1283" max="1283" width="9.85546875" style="448" customWidth="1"/>
    <col min="1284" max="1284" width="10.140625" style="448" bestFit="1" customWidth="1"/>
    <col min="1285" max="1285" width="8.42578125" style="448" bestFit="1" customWidth="1"/>
    <col min="1286" max="1286" width="9.28515625" style="448" customWidth="1"/>
    <col min="1287" max="1287" width="11.140625" style="448" bestFit="1" customWidth="1"/>
    <col min="1288" max="1288" width="10.28515625" style="448" bestFit="1" customWidth="1"/>
    <col min="1289" max="1289" width="8.28515625" style="448" customWidth="1"/>
    <col min="1290" max="1290" width="10.7109375" style="448" customWidth="1"/>
    <col min="1291" max="1291" width="11.42578125" style="448" customWidth="1"/>
    <col min="1292" max="1292" width="11.85546875" style="448" bestFit="1" customWidth="1"/>
    <col min="1293" max="1293" width="11.5703125" style="448" bestFit="1" customWidth="1"/>
    <col min="1294" max="1294" width="14.85546875" style="448" bestFit="1" customWidth="1"/>
    <col min="1295" max="1536" width="9.140625" style="448"/>
    <col min="1537" max="1537" width="11.28515625" style="448" customWidth="1"/>
    <col min="1538" max="1538" width="37.85546875" style="448" customWidth="1"/>
    <col min="1539" max="1539" width="9.85546875" style="448" customWidth="1"/>
    <col min="1540" max="1540" width="10.140625" style="448" bestFit="1" customWidth="1"/>
    <col min="1541" max="1541" width="8.42578125" style="448" bestFit="1" customWidth="1"/>
    <col min="1542" max="1542" width="9.28515625" style="448" customWidth="1"/>
    <col min="1543" max="1543" width="11.140625" style="448" bestFit="1" customWidth="1"/>
    <col min="1544" max="1544" width="10.28515625" style="448" bestFit="1" customWidth="1"/>
    <col min="1545" max="1545" width="8.28515625" style="448" customWidth="1"/>
    <col min="1546" max="1546" width="10.7109375" style="448" customWidth="1"/>
    <col min="1547" max="1547" width="11.42578125" style="448" customWidth="1"/>
    <col min="1548" max="1548" width="11.85546875" style="448" bestFit="1" customWidth="1"/>
    <col min="1549" max="1549" width="11.5703125" style="448" bestFit="1" customWidth="1"/>
    <col min="1550" max="1550" width="14.85546875" style="448" bestFit="1" customWidth="1"/>
    <col min="1551" max="1792" width="9.140625" style="448"/>
    <col min="1793" max="1793" width="11.28515625" style="448" customWidth="1"/>
    <col min="1794" max="1794" width="37.85546875" style="448" customWidth="1"/>
    <col min="1795" max="1795" width="9.85546875" style="448" customWidth="1"/>
    <col min="1796" max="1796" width="10.140625" style="448" bestFit="1" customWidth="1"/>
    <col min="1797" max="1797" width="8.42578125" style="448" bestFit="1" customWidth="1"/>
    <col min="1798" max="1798" width="9.28515625" style="448" customWidth="1"/>
    <col min="1799" max="1799" width="11.140625" style="448" bestFit="1" customWidth="1"/>
    <col min="1800" max="1800" width="10.28515625" style="448" bestFit="1" customWidth="1"/>
    <col min="1801" max="1801" width="8.28515625" style="448" customWidth="1"/>
    <col min="1802" max="1802" width="10.7109375" style="448" customWidth="1"/>
    <col min="1803" max="1803" width="11.42578125" style="448" customWidth="1"/>
    <col min="1804" max="1804" width="11.85546875" style="448" bestFit="1" customWidth="1"/>
    <col min="1805" max="1805" width="11.5703125" style="448" bestFit="1" customWidth="1"/>
    <col min="1806" max="1806" width="14.85546875" style="448" bestFit="1" customWidth="1"/>
    <col min="1807" max="2048" width="9.140625" style="448"/>
    <col min="2049" max="2049" width="11.28515625" style="448" customWidth="1"/>
    <col min="2050" max="2050" width="37.85546875" style="448" customWidth="1"/>
    <col min="2051" max="2051" width="9.85546875" style="448" customWidth="1"/>
    <col min="2052" max="2052" width="10.140625" style="448" bestFit="1" customWidth="1"/>
    <col min="2053" max="2053" width="8.42578125" style="448" bestFit="1" customWidth="1"/>
    <col min="2054" max="2054" width="9.28515625" style="448" customWidth="1"/>
    <col min="2055" max="2055" width="11.140625" style="448" bestFit="1" customWidth="1"/>
    <col min="2056" max="2056" width="10.28515625" style="448" bestFit="1" customWidth="1"/>
    <col min="2057" max="2057" width="8.28515625" style="448" customWidth="1"/>
    <col min="2058" max="2058" width="10.7109375" style="448" customWidth="1"/>
    <col min="2059" max="2059" width="11.42578125" style="448" customWidth="1"/>
    <col min="2060" max="2060" width="11.85546875" style="448" bestFit="1" customWidth="1"/>
    <col min="2061" max="2061" width="11.5703125" style="448" bestFit="1" customWidth="1"/>
    <col min="2062" max="2062" width="14.85546875" style="448" bestFit="1" customWidth="1"/>
    <col min="2063" max="2304" width="9.140625" style="448"/>
    <col min="2305" max="2305" width="11.28515625" style="448" customWidth="1"/>
    <col min="2306" max="2306" width="37.85546875" style="448" customWidth="1"/>
    <col min="2307" max="2307" width="9.85546875" style="448" customWidth="1"/>
    <col min="2308" max="2308" width="10.140625" style="448" bestFit="1" customWidth="1"/>
    <col min="2309" max="2309" width="8.42578125" style="448" bestFit="1" customWidth="1"/>
    <col min="2310" max="2310" width="9.28515625" style="448" customWidth="1"/>
    <col min="2311" max="2311" width="11.140625" style="448" bestFit="1" customWidth="1"/>
    <col min="2312" max="2312" width="10.28515625" style="448" bestFit="1" customWidth="1"/>
    <col min="2313" max="2313" width="8.28515625" style="448" customWidth="1"/>
    <col min="2314" max="2314" width="10.7109375" style="448" customWidth="1"/>
    <col min="2315" max="2315" width="11.42578125" style="448" customWidth="1"/>
    <col min="2316" max="2316" width="11.85546875" style="448" bestFit="1" customWidth="1"/>
    <col min="2317" max="2317" width="11.5703125" style="448" bestFit="1" customWidth="1"/>
    <col min="2318" max="2318" width="14.85546875" style="448" bestFit="1" customWidth="1"/>
    <col min="2319" max="2560" width="9.140625" style="448"/>
    <col min="2561" max="2561" width="11.28515625" style="448" customWidth="1"/>
    <col min="2562" max="2562" width="37.85546875" style="448" customWidth="1"/>
    <col min="2563" max="2563" width="9.85546875" style="448" customWidth="1"/>
    <col min="2564" max="2564" width="10.140625" style="448" bestFit="1" customWidth="1"/>
    <col min="2565" max="2565" width="8.42578125" style="448" bestFit="1" customWidth="1"/>
    <col min="2566" max="2566" width="9.28515625" style="448" customWidth="1"/>
    <col min="2567" max="2567" width="11.140625" style="448" bestFit="1" customWidth="1"/>
    <col min="2568" max="2568" width="10.28515625" style="448" bestFit="1" customWidth="1"/>
    <col min="2569" max="2569" width="8.28515625" style="448" customWidth="1"/>
    <col min="2570" max="2570" width="10.7109375" style="448" customWidth="1"/>
    <col min="2571" max="2571" width="11.42578125" style="448" customWidth="1"/>
    <col min="2572" max="2572" width="11.85546875" style="448" bestFit="1" customWidth="1"/>
    <col min="2573" max="2573" width="11.5703125" style="448" bestFit="1" customWidth="1"/>
    <col min="2574" max="2574" width="14.85546875" style="448" bestFit="1" customWidth="1"/>
    <col min="2575" max="2816" width="9.140625" style="448"/>
    <col min="2817" max="2817" width="11.28515625" style="448" customWidth="1"/>
    <col min="2818" max="2818" width="37.85546875" style="448" customWidth="1"/>
    <col min="2819" max="2819" width="9.85546875" style="448" customWidth="1"/>
    <col min="2820" max="2820" width="10.140625" style="448" bestFit="1" customWidth="1"/>
    <col min="2821" max="2821" width="8.42578125" style="448" bestFit="1" customWidth="1"/>
    <col min="2822" max="2822" width="9.28515625" style="448" customWidth="1"/>
    <col min="2823" max="2823" width="11.140625" style="448" bestFit="1" customWidth="1"/>
    <col min="2824" max="2824" width="10.28515625" style="448" bestFit="1" customWidth="1"/>
    <col min="2825" max="2825" width="8.28515625" style="448" customWidth="1"/>
    <col min="2826" max="2826" width="10.7109375" style="448" customWidth="1"/>
    <col min="2827" max="2827" width="11.42578125" style="448" customWidth="1"/>
    <col min="2828" max="2828" width="11.85546875" style="448" bestFit="1" customWidth="1"/>
    <col min="2829" max="2829" width="11.5703125" style="448" bestFit="1" customWidth="1"/>
    <col min="2830" max="2830" width="14.85546875" style="448" bestFit="1" customWidth="1"/>
    <col min="2831" max="3072" width="9.140625" style="448"/>
    <col min="3073" max="3073" width="11.28515625" style="448" customWidth="1"/>
    <col min="3074" max="3074" width="37.85546875" style="448" customWidth="1"/>
    <col min="3075" max="3075" width="9.85546875" style="448" customWidth="1"/>
    <col min="3076" max="3076" width="10.140625" style="448" bestFit="1" customWidth="1"/>
    <col min="3077" max="3077" width="8.42578125" style="448" bestFit="1" customWidth="1"/>
    <col min="3078" max="3078" width="9.28515625" style="448" customWidth="1"/>
    <col min="3079" max="3079" width="11.140625" style="448" bestFit="1" customWidth="1"/>
    <col min="3080" max="3080" width="10.28515625" style="448" bestFit="1" customWidth="1"/>
    <col min="3081" max="3081" width="8.28515625" style="448" customWidth="1"/>
    <col min="3082" max="3082" width="10.7109375" style="448" customWidth="1"/>
    <col min="3083" max="3083" width="11.42578125" style="448" customWidth="1"/>
    <col min="3084" max="3084" width="11.85546875" style="448" bestFit="1" customWidth="1"/>
    <col min="3085" max="3085" width="11.5703125" style="448" bestFit="1" customWidth="1"/>
    <col min="3086" max="3086" width="14.85546875" style="448" bestFit="1" customWidth="1"/>
    <col min="3087" max="3328" width="9.140625" style="448"/>
    <col min="3329" max="3329" width="11.28515625" style="448" customWidth="1"/>
    <col min="3330" max="3330" width="37.85546875" style="448" customWidth="1"/>
    <col min="3331" max="3331" width="9.85546875" style="448" customWidth="1"/>
    <col min="3332" max="3332" width="10.140625" style="448" bestFit="1" customWidth="1"/>
    <col min="3333" max="3333" width="8.42578125" style="448" bestFit="1" customWidth="1"/>
    <col min="3334" max="3334" width="9.28515625" style="448" customWidth="1"/>
    <col min="3335" max="3335" width="11.140625" style="448" bestFit="1" customWidth="1"/>
    <col min="3336" max="3336" width="10.28515625" style="448" bestFit="1" customWidth="1"/>
    <col min="3337" max="3337" width="8.28515625" style="448" customWidth="1"/>
    <col min="3338" max="3338" width="10.7109375" style="448" customWidth="1"/>
    <col min="3339" max="3339" width="11.42578125" style="448" customWidth="1"/>
    <col min="3340" max="3340" width="11.85546875" style="448" bestFit="1" customWidth="1"/>
    <col min="3341" max="3341" width="11.5703125" style="448" bestFit="1" customWidth="1"/>
    <col min="3342" max="3342" width="14.85546875" style="448" bestFit="1" customWidth="1"/>
    <col min="3343" max="3584" width="9.140625" style="448"/>
    <col min="3585" max="3585" width="11.28515625" style="448" customWidth="1"/>
    <col min="3586" max="3586" width="37.85546875" style="448" customWidth="1"/>
    <col min="3587" max="3587" width="9.85546875" style="448" customWidth="1"/>
    <col min="3588" max="3588" width="10.140625" style="448" bestFit="1" customWidth="1"/>
    <col min="3589" max="3589" width="8.42578125" style="448" bestFit="1" customWidth="1"/>
    <col min="3590" max="3590" width="9.28515625" style="448" customWidth="1"/>
    <col min="3591" max="3591" width="11.140625" style="448" bestFit="1" customWidth="1"/>
    <col min="3592" max="3592" width="10.28515625" style="448" bestFit="1" customWidth="1"/>
    <col min="3593" max="3593" width="8.28515625" style="448" customWidth="1"/>
    <col min="3594" max="3594" width="10.7109375" style="448" customWidth="1"/>
    <col min="3595" max="3595" width="11.42578125" style="448" customWidth="1"/>
    <col min="3596" max="3596" width="11.85546875" style="448" bestFit="1" customWidth="1"/>
    <col min="3597" max="3597" width="11.5703125" style="448" bestFit="1" customWidth="1"/>
    <col min="3598" max="3598" width="14.85546875" style="448" bestFit="1" customWidth="1"/>
    <col min="3599" max="3840" width="9.140625" style="448"/>
    <col min="3841" max="3841" width="11.28515625" style="448" customWidth="1"/>
    <col min="3842" max="3842" width="37.85546875" style="448" customWidth="1"/>
    <col min="3843" max="3843" width="9.85546875" style="448" customWidth="1"/>
    <col min="3844" max="3844" width="10.140625" style="448" bestFit="1" customWidth="1"/>
    <col min="3845" max="3845" width="8.42578125" style="448" bestFit="1" customWidth="1"/>
    <col min="3846" max="3846" width="9.28515625" style="448" customWidth="1"/>
    <col min="3847" max="3847" width="11.140625" style="448" bestFit="1" customWidth="1"/>
    <col min="3848" max="3848" width="10.28515625" style="448" bestFit="1" customWidth="1"/>
    <col min="3849" max="3849" width="8.28515625" style="448" customWidth="1"/>
    <col min="3850" max="3850" width="10.7109375" style="448" customWidth="1"/>
    <col min="3851" max="3851" width="11.42578125" style="448" customWidth="1"/>
    <col min="3852" max="3852" width="11.85546875" style="448" bestFit="1" customWidth="1"/>
    <col min="3853" max="3853" width="11.5703125" style="448" bestFit="1" customWidth="1"/>
    <col min="3854" max="3854" width="14.85546875" style="448" bestFit="1" customWidth="1"/>
    <col min="3855" max="4096" width="9.140625" style="448"/>
    <col min="4097" max="4097" width="11.28515625" style="448" customWidth="1"/>
    <col min="4098" max="4098" width="37.85546875" style="448" customWidth="1"/>
    <col min="4099" max="4099" width="9.85546875" style="448" customWidth="1"/>
    <col min="4100" max="4100" width="10.140625" style="448" bestFit="1" customWidth="1"/>
    <col min="4101" max="4101" width="8.42578125" style="448" bestFit="1" customWidth="1"/>
    <col min="4102" max="4102" width="9.28515625" style="448" customWidth="1"/>
    <col min="4103" max="4103" width="11.140625" style="448" bestFit="1" customWidth="1"/>
    <col min="4104" max="4104" width="10.28515625" style="448" bestFit="1" customWidth="1"/>
    <col min="4105" max="4105" width="8.28515625" style="448" customWidth="1"/>
    <col min="4106" max="4106" width="10.7109375" style="448" customWidth="1"/>
    <col min="4107" max="4107" width="11.42578125" style="448" customWidth="1"/>
    <col min="4108" max="4108" width="11.85546875" style="448" bestFit="1" customWidth="1"/>
    <col min="4109" max="4109" width="11.5703125" style="448" bestFit="1" customWidth="1"/>
    <col min="4110" max="4110" width="14.85546875" style="448" bestFit="1" customWidth="1"/>
    <col min="4111" max="4352" width="9.140625" style="448"/>
    <col min="4353" max="4353" width="11.28515625" style="448" customWidth="1"/>
    <col min="4354" max="4354" width="37.85546875" style="448" customWidth="1"/>
    <col min="4355" max="4355" width="9.85546875" style="448" customWidth="1"/>
    <col min="4356" max="4356" width="10.140625" style="448" bestFit="1" customWidth="1"/>
    <col min="4357" max="4357" width="8.42578125" style="448" bestFit="1" customWidth="1"/>
    <col min="4358" max="4358" width="9.28515625" style="448" customWidth="1"/>
    <col min="4359" max="4359" width="11.140625" style="448" bestFit="1" customWidth="1"/>
    <col min="4360" max="4360" width="10.28515625" style="448" bestFit="1" customWidth="1"/>
    <col min="4361" max="4361" width="8.28515625" style="448" customWidth="1"/>
    <col min="4362" max="4362" width="10.7109375" style="448" customWidth="1"/>
    <col min="4363" max="4363" width="11.42578125" style="448" customWidth="1"/>
    <col min="4364" max="4364" width="11.85546875" style="448" bestFit="1" customWidth="1"/>
    <col min="4365" max="4365" width="11.5703125" style="448" bestFit="1" customWidth="1"/>
    <col min="4366" max="4366" width="14.85546875" style="448" bestFit="1" customWidth="1"/>
    <col min="4367" max="4608" width="9.140625" style="448"/>
    <col min="4609" max="4609" width="11.28515625" style="448" customWidth="1"/>
    <col min="4610" max="4610" width="37.85546875" style="448" customWidth="1"/>
    <col min="4611" max="4611" width="9.85546875" style="448" customWidth="1"/>
    <col min="4612" max="4612" width="10.140625" style="448" bestFit="1" customWidth="1"/>
    <col min="4613" max="4613" width="8.42578125" style="448" bestFit="1" customWidth="1"/>
    <col min="4614" max="4614" width="9.28515625" style="448" customWidth="1"/>
    <col min="4615" max="4615" width="11.140625" style="448" bestFit="1" customWidth="1"/>
    <col min="4616" max="4616" width="10.28515625" style="448" bestFit="1" customWidth="1"/>
    <col min="4617" max="4617" width="8.28515625" style="448" customWidth="1"/>
    <col min="4618" max="4618" width="10.7109375" style="448" customWidth="1"/>
    <col min="4619" max="4619" width="11.42578125" style="448" customWidth="1"/>
    <col min="4620" max="4620" width="11.85546875" style="448" bestFit="1" customWidth="1"/>
    <col min="4621" max="4621" width="11.5703125" style="448" bestFit="1" customWidth="1"/>
    <col min="4622" max="4622" width="14.85546875" style="448" bestFit="1" customWidth="1"/>
    <col min="4623" max="4864" width="9.140625" style="448"/>
    <col min="4865" max="4865" width="11.28515625" style="448" customWidth="1"/>
    <col min="4866" max="4866" width="37.85546875" style="448" customWidth="1"/>
    <col min="4867" max="4867" width="9.85546875" style="448" customWidth="1"/>
    <col min="4868" max="4868" width="10.140625" style="448" bestFit="1" customWidth="1"/>
    <col min="4869" max="4869" width="8.42578125" style="448" bestFit="1" customWidth="1"/>
    <col min="4870" max="4870" width="9.28515625" style="448" customWidth="1"/>
    <col min="4871" max="4871" width="11.140625" style="448" bestFit="1" customWidth="1"/>
    <col min="4872" max="4872" width="10.28515625" style="448" bestFit="1" customWidth="1"/>
    <col min="4873" max="4873" width="8.28515625" style="448" customWidth="1"/>
    <col min="4874" max="4874" width="10.7109375" style="448" customWidth="1"/>
    <col min="4875" max="4875" width="11.42578125" style="448" customWidth="1"/>
    <col min="4876" max="4876" width="11.85546875" style="448" bestFit="1" customWidth="1"/>
    <col min="4877" max="4877" width="11.5703125" style="448" bestFit="1" customWidth="1"/>
    <col min="4878" max="4878" width="14.85546875" style="448" bestFit="1" customWidth="1"/>
    <col min="4879" max="5120" width="9.140625" style="448"/>
    <col min="5121" max="5121" width="11.28515625" style="448" customWidth="1"/>
    <col min="5122" max="5122" width="37.85546875" style="448" customWidth="1"/>
    <col min="5123" max="5123" width="9.85546875" style="448" customWidth="1"/>
    <col min="5124" max="5124" width="10.140625" style="448" bestFit="1" customWidth="1"/>
    <col min="5125" max="5125" width="8.42578125" style="448" bestFit="1" customWidth="1"/>
    <col min="5126" max="5126" width="9.28515625" style="448" customWidth="1"/>
    <col min="5127" max="5127" width="11.140625" style="448" bestFit="1" customWidth="1"/>
    <col min="5128" max="5128" width="10.28515625" style="448" bestFit="1" customWidth="1"/>
    <col min="5129" max="5129" width="8.28515625" style="448" customWidth="1"/>
    <col min="5130" max="5130" width="10.7109375" style="448" customWidth="1"/>
    <col min="5131" max="5131" width="11.42578125" style="448" customWidth="1"/>
    <col min="5132" max="5132" width="11.85546875" style="448" bestFit="1" customWidth="1"/>
    <col min="5133" max="5133" width="11.5703125" style="448" bestFit="1" customWidth="1"/>
    <col min="5134" max="5134" width="14.85546875" style="448" bestFit="1" customWidth="1"/>
    <col min="5135" max="5376" width="9.140625" style="448"/>
    <col min="5377" max="5377" width="11.28515625" style="448" customWidth="1"/>
    <col min="5378" max="5378" width="37.85546875" style="448" customWidth="1"/>
    <col min="5379" max="5379" width="9.85546875" style="448" customWidth="1"/>
    <col min="5380" max="5380" width="10.140625" style="448" bestFit="1" customWidth="1"/>
    <col min="5381" max="5381" width="8.42578125" style="448" bestFit="1" customWidth="1"/>
    <col min="5382" max="5382" width="9.28515625" style="448" customWidth="1"/>
    <col min="5383" max="5383" width="11.140625" style="448" bestFit="1" customWidth="1"/>
    <col min="5384" max="5384" width="10.28515625" style="448" bestFit="1" customWidth="1"/>
    <col min="5385" max="5385" width="8.28515625" style="448" customWidth="1"/>
    <col min="5386" max="5386" width="10.7109375" style="448" customWidth="1"/>
    <col min="5387" max="5387" width="11.42578125" style="448" customWidth="1"/>
    <col min="5388" max="5388" width="11.85546875" style="448" bestFit="1" customWidth="1"/>
    <col min="5389" max="5389" width="11.5703125" style="448" bestFit="1" customWidth="1"/>
    <col min="5390" max="5390" width="14.85546875" style="448" bestFit="1" customWidth="1"/>
    <col min="5391" max="5632" width="9.140625" style="448"/>
    <col min="5633" max="5633" width="11.28515625" style="448" customWidth="1"/>
    <col min="5634" max="5634" width="37.85546875" style="448" customWidth="1"/>
    <col min="5635" max="5635" width="9.85546875" style="448" customWidth="1"/>
    <col min="5636" max="5636" width="10.140625" style="448" bestFit="1" customWidth="1"/>
    <col min="5637" max="5637" width="8.42578125" style="448" bestFit="1" customWidth="1"/>
    <col min="5638" max="5638" width="9.28515625" style="448" customWidth="1"/>
    <col min="5639" max="5639" width="11.140625" style="448" bestFit="1" customWidth="1"/>
    <col min="5640" max="5640" width="10.28515625" style="448" bestFit="1" customWidth="1"/>
    <col min="5641" max="5641" width="8.28515625" style="448" customWidth="1"/>
    <col min="5642" max="5642" width="10.7109375" style="448" customWidth="1"/>
    <col min="5643" max="5643" width="11.42578125" style="448" customWidth="1"/>
    <col min="5644" max="5644" width="11.85546875" style="448" bestFit="1" customWidth="1"/>
    <col min="5645" max="5645" width="11.5703125" style="448" bestFit="1" customWidth="1"/>
    <col min="5646" max="5646" width="14.85546875" style="448" bestFit="1" customWidth="1"/>
    <col min="5647" max="5888" width="9.140625" style="448"/>
    <col min="5889" max="5889" width="11.28515625" style="448" customWidth="1"/>
    <col min="5890" max="5890" width="37.85546875" style="448" customWidth="1"/>
    <col min="5891" max="5891" width="9.85546875" style="448" customWidth="1"/>
    <col min="5892" max="5892" width="10.140625" style="448" bestFit="1" customWidth="1"/>
    <col min="5893" max="5893" width="8.42578125" style="448" bestFit="1" customWidth="1"/>
    <col min="5894" max="5894" width="9.28515625" style="448" customWidth="1"/>
    <col min="5895" max="5895" width="11.140625" style="448" bestFit="1" customWidth="1"/>
    <col min="5896" max="5896" width="10.28515625" style="448" bestFit="1" customWidth="1"/>
    <col min="5897" max="5897" width="8.28515625" style="448" customWidth="1"/>
    <col min="5898" max="5898" width="10.7109375" style="448" customWidth="1"/>
    <col min="5899" max="5899" width="11.42578125" style="448" customWidth="1"/>
    <col min="5900" max="5900" width="11.85546875" style="448" bestFit="1" customWidth="1"/>
    <col min="5901" max="5901" width="11.5703125" style="448" bestFit="1" customWidth="1"/>
    <col min="5902" max="5902" width="14.85546875" style="448" bestFit="1" customWidth="1"/>
    <col min="5903" max="6144" width="9.140625" style="448"/>
    <col min="6145" max="6145" width="11.28515625" style="448" customWidth="1"/>
    <col min="6146" max="6146" width="37.85546875" style="448" customWidth="1"/>
    <col min="6147" max="6147" width="9.85546875" style="448" customWidth="1"/>
    <col min="6148" max="6148" width="10.140625" style="448" bestFit="1" customWidth="1"/>
    <col min="6149" max="6149" width="8.42578125" style="448" bestFit="1" customWidth="1"/>
    <col min="6150" max="6150" width="9.28515625" style="448" customWidth="1"/>
    <col min="6151" max="6151" width="11.140625" style="448" bestFit="1" customWidth="1"/>
    <col min="6152" max="6152" width="10.28515625" style="448" bestFit="1" customWidth="1"/>
    <col min="6153" max="6153" width="8.28515625" style="448" customWidth="1"/>
    <col min="6154" max="6154" width="10.7109375" style="448" customWidth="1"/>
    <col min="6155" max="6155" width="11.42578125" style="448" customWidth="1"/>
    <col min="6156" max="6156" width="11.85546875" style="448" bestFit="1" customWidth="1"/>
    <col min="6157" max="6157" width="11.5703125" style="448" bestFit="1" customWidth="1"/>
    <col min="6158" max="6158" width="14.85546875" style="448" bestFit="1" customWidth="1"/>
    <col min="6159" max="6400" width="9.140625" style="448"/>
    <col min="6401" max="6401" width="11.28515625" style="448" customWidth="1"/>
    <col min="6402" max="6402" width="37.85546875" style="448" customWidth="1"/>
    <col min="6403" max="6403" width="9.85546875" style="448" customWidth="1"/>
    <col min="6404" max="6404" width="10.140625" style="448" bestFit="1" customWidth="1"/>
    <col min="6405" max="6405" width="8.42578125" style="448" bestFit="1" customWidth="1"/>
    <col min="6406" max="6406" width="9.28515625" style="448" customWidth="1"/>
    <col min="6407" max="6407" width="11.140625" style="448" bestFit="1" customWidth="1"/>
    <col min="6408" max="6408" width="10.28515625" style="448" bestFit="1" customWidth="1"/>
    <col min="6409" max="6409" width="8.28515625" style="448" customWidth="1"/>
    <col min="6410" max="6410" width="10.7109375" style="448" customWidth="1"/>
    <col min="6411" max="6411" width="11.42578125" style="448" customWidth="1"/>
    <col min="6412" max="6412" width="11.85546875" style="448" bestFit="1" customWidth="1"/>
    <col min="6413" max="6413" width="11.5703125" style="448" bestFit="1" customWidth="1"/>
    <col min="6414" max="6414" width="14.85546875" style="448" bestFit="1" customWidth="1"/>
    <col min="6415" max="6656" width="9.140625" style="448"/>
    <col min="6657" max="6657" width="11.28515625" style="448" customWidth="1"/>
    <col min="6658" max="6658" width="37.85546875" style="448" customWidth="1"/>
    <col min="6659" max="6659" width="9.85546875" style="448" customWidth="1"/>
    <col min="6660" max="6660" width="10.140625" style="448" bestFit="1" customWidth="1"/>
    <col min="6661" max="6661" width="8.42578125" style="448" bestFit="1" customWidth="1"/>
    <col min="6662" max="6662" width="9.28515625" style="448" customWidth="1"/>
    <col min="6663" max="6663" width="11.140625" style="448" bestFit="1" customWidth="1"/>
    <col min="6664" max="6664" width="10.28515625" style="448" bestFit="1" customWidth="1"/>
    <col min="6665" max="6665" width="8.28515625" style="448" customWidth="1"/>
    <col min="6666" max="6666" width="10.7109375" style="448" customWidth="1"/>
    <col min="6667" max="6667" width="11.42578125" style="448" customWidth="1"/>
    <col min="6668" max="6668" width="11.85546875" style="448" bestFit="1" customWidth="1"/>
    <col min="6669" max="6669" width="11.5703125" style="448" bestFit="1" customWidth="1"/>
    <col min="6670" max="6670" width="14.85546875" style="448" bestFit="1" customWidth="1"/>
    <col min="6671" max="6912" width="9.140625" style="448"/>
    <col min="6913" max="6913" width="11.28515625" style="448" customWidth="1"/>
    <col min="6914" max="6914" width="37.85546875" style="448" customWidth="1"/>
    <col min="6915" max="6915" width="9.85546875" style="448" customWidth="1"/>
    <col min="6916" max="6916" width="10.140625" style="448" bestFit="1" customWidth="1"/>
    <col min="6917" max="6917" width="8.42578125" style="448" bestFit="1" customWidth="1"/>
    <col min="6918" max="6918" width="9.28515625" style="448" customWidth="1"/>
    <col min="6919" max="6919" width="11.140625" style="448" bestFit="1" customWidth="1"/>
    <col min="6920" max="6920" width="10.28515625" style="448" bestFit="1" customWidth="1"/>
    <col min="6921" max="6921" width="8.28515625" style="448" customWidth="1"/>
    <col min="6922" max="6922" width="10.7109375" style="448" customWidth="1"/>
    <col min="6923" max="6923" width="11.42578125" style="448" customWidth="1"/>
    <col min="6924" max="6924" width="11.85546875" style="448" bestFit="1" customWidth="1"/>
    <col min="6925" max="6925" width="11.5703125" style="448" bestFit="1" customWidth="1"/>
    <col min="6926" max="6926" width="14.85546875" style="448" bestFit="1" customWidth="1"/>
    <col min="6927" max="7168" width="9.140625" style="448"/>
    <col min="7169" max="7169" width="11.28515625" style="448" customWidth="1"/>
    <col min="7170" max="7170" width="37.85546875" style="448" customWidth="1"/>
    <col min="7171" max="7171" width="9.85546875" style="448" customWidth="1"/>
    <col min="7172" max="7172" width="10.140625" style="448" bestFit="1" customWidth="1"/>
    <col min="7173" max="7173" width="8.42578125" style="448" bestFit="1" customWidth="1"/>
    <col min="7174" max="7174" width="9.28515625" style="448" customWidth="1"/>
    <col min="7175" max="7175" width="11.140625" style="448" bestFit="1" customWidth="1"/>
    <col min="7176" max="7176" width="10.28515625" style="448" bestFit="1" customWidth="1"/>
    <col min="7177" max="7177" width="8.28515625" style="448" customWidth="1"/>
    <col min="7178" max="7178" width="10.7109375" style="448" customWidth="1"/>
    <col min="7179" max="7179" width="11.42578125" style="448" customWidth="1"/>
    <col min="7180" max="7180" width="11.85546875" style="448" bestFit="1" customWidth="1"/>
    <col min="7181" max="7181" width="11.5703125" style="448" bestFit="1" customWidth="1"/>
    <col min="7182" max="7182" width="14.85546875" style="448" bestFit="1" customWidth="1"/>
    <col min="7183" max="7424" width="9.140625" style="448"/>
    <col min="7425" max="7425" width="11.28515625" style="448" customWidth="1"/>
    <col min="7426" max="7426" width="37.85546875" style="448" customWidth="1"/>
    <col min="7427" max="7427" width="9.85546875" style="448" customWidth="1"/>
    <col min="7428" max="7428" width="10.140625" style="448" bestFit="1" customWidth="1"/>
    <col min="7429" max="7429" width="8.42578125" style="448" bestFit="1" customWidth="1"/>
    <col min="7430" max="7430" width="9.28515625" style="448" customWidth="1"/>
    <col min="7431" max="7431" width="11.140625" style="448" bestFit="1" customWidth="1"/>
    <col min="7432" max="7432" width="10.28515625" style="448" bestFit="1" customWidth="1"/>
    <col min="7433" max="7433" width="8.28515625" style="448" customWidth="1"/>
    <col min="7434" max="7434" width="10.7109375" style="448" customWidth="1"/>
    <col min="7435" max="7435" width="11.42578125" style="448" customWidth="1"/>
    <col min="7436" max="7436" width="11.85546875" style="448" bestFit="1" customWidth="1"/>
    <col min="7437" max="7437" width="11.5703125" style="448" bestFit="1" customWidth="1"/>
    <col min="7438" max="7438" width="14.85546875" style="448" bestFit="1" customWidth="1"/>
    <col min="7439" max="7680" width="9.140625" style="448"/>
    <col min="7681" max="7681" width="11.28515625" style="448" customWidth="1"/>
    <col min="7682" max="7682" width="37.85546875" style="448" customWidth="1"/>
    <col min="7683" max="7683" width="9.85546875" style="448" customWidth="1"/>
    <col min="7684" max="7684" width="10.140625" style="448" bestFit="1" customWidth="1"/>
    <col min="7685" max="7685" width="8.42578125" style="448" bestFit="1" customWidth="1"/>
    <col min="7686" max="7686" width="9.28515625" style="448" customWidth="1"/>
    <col min="7687" max="7687" width="11.140625" style="448" bestFit="1" customWidth="1"/>
    <col min="7688" max="7688" width="10.28515625" style="448" bestFit="1" customWidth="1"/>
    <col min="7689" max="7689" width="8.28515625" style="448" customWidth="1"/>
    <col min="7690" max="7690" width="10.7109375" style="448" customWidth="1"/>
    <col min="7691" max="7691" width="11.42578125" style="448" customWidth="1"/>
    <col min="7692" max="7692" width="11.85546875" style="448" bestFit="1" customWidth="1"/>
    <col min="7693" max="7693" width="11.5703125" style="448" bestFit="1" customWidth="1"/>
    <col min="7694" max="7694" width="14.85546875" style="448" bestFit="1" customWidth="1"/>
    <col min="7695" max="7936" width="9.140625" style="448"/>
    <col min="7937" max="7937" width="11.28515625" style="448" customWidth="1"/>
    <col min="7938" max="7938" width="37.85546875" style="448" customWidth="1"/>
    <col min="7939" max="7939" width="9.85546875" style="448" customWidth="1"/>
    <col min="7940" max="7940" width="10.140625" style="448" bestFit="1" customWidth="1"/>
    <col min="7941" max="7941" width="8.42578125" style="448" bestFit="1" customWidth="1"/>
    <col min="7942" max="7942" width="9.28515625" style="448" customWidth="1"/>
    <col min="7943" max="7943" width="11.140625" style="448" bestFit="1" customWidth="1"/>
    <col min="7944" max="7944" width="10.28515625" style="448" bestFit="1" customWidth="1"/>
    <col min="7945" max="7945" width="8.28515625" style="448" customWidth="1"/>
    <col min="7946" max="7946" width="10.7109375" style="448" customWidth="1"/>
    <col min="7947" max="7947" width="11.42578125" style="448" customWidth="1"/>
    <col min="7948" max="7948" width="11.85546875" style="448" bestFit="1" customWidth="1"/>
    <col min="7949" max="7949" width="11.5703125" style="448" bestFit="1" customWidth="1"/>
    <col min="7950" max="7950" width="14.85546875" style="448" bestFit="1" customWidth="1"/>
    <col min="7951" max="8192" width="9.140625" style="448"/>
    <col min="8193" max="8193" width="11.28515625" style="448" customWidth="1"/>
    <col min="8194" max="8194" width="37.85546875" style="448" customWidth="1"/>
    <col min="8195" max="8195" width="9.85546875" style="448" customWidth="1"/>
    <col min="8196" max="8196" width="10.140625" style="448" bestFit="1" customWidth="1"/>
    <col min="8197" max="8197" width="8.42578125" style="448" bestFit="1" customWidth="1"/>
    <col min="8198" max="8198" width="9.28515625" style="448" customWidth="1"/>
    <col min="8199" max="8199" width="11.140625" style="448" bestFit="1" customWidth="1"/>
    <col min="8200" max="8200" width="10.28515625" style="448" bestFit="1" customWidth="1"/>
    <col min="8201" max="8201" width="8.28515625" style="448" customWidth="1"/>
    <col min="8202" max="8202" width="10.7109375" style="448" customWidth="1"/>
    <col min="8203" max="8203" width="11.42578125" style="448" customWidth="1"/>
    <col min="8204" max="8204" width="11.85546875" style="448" bestFit="1" customWidth="1"/>
    <col min="8205" max="8205" width="11.5703125" style="448" bestFit="1" customWidth="1"/>
    <col min="8206" max="8206" width="14.85546875" style="448" bestFit="1" customWidth="1"/>
    <col min="8207" max="8448" width="9.140625" style="448"/>
    <col min="8449" max="8449" width="11.28515625" style="448" customWidth="1"/>
    <col min="8450" max="8450" width="37.85546875" style="448" customWidth="1"/>
    <col min="8451" max="8451" width="9.85546875" style="448" customWidth="1"/>
    <col min="8452" max="8452" width="10.140625" style="448" bestFit="1" customWidth="1"/>
    <col min="8453" max="8453" width="8.42578125" style="448" bestFit="1" customWidth="1"/>
    <col min="8454" max="8454" width="9.28515625" style="448" customWidth="1"/>
    <col min="8455" max="8455" width="11.140625" style="448" bestFit="1" customWidth="1"/>
    <col min="8456" max="8456" width="10.28515625" style="448" bestFit="1" customWidth="1"/>
    <col min="8457" max="8457" width="8.28515625" style="448" customWidth="1"/>
    <col min="8458" max="8458" width="10.7109375" style="448" customWidth="1"/>
    <col min="8459" max="8459" width="11.42578125" style="448" customWidth="1"/>
    <col min="8460" max="8460" width="11.85546875" style="448" bestFit="1" customWidth="1"/>
    <col min="8461" max="8461" width="11.5703125" style="448" bestFit="1" customWidth="1"/>
    <col min="8462" max="8462" width="14.85546875" style="448" bestFit="1" customWidth="1"/>
    <col min="8463" max="8704" width="9.140625" style="448"/>
    <col min="8705" max="8705" width="11.28515625" style="448" customWidth="1"/>
    <col min="8706" max="8706" width="37.85546875" style="448" customWidth="1"/>
    <col min="8707" max="8707" width="9.85546875" style="448" customWidth="1"/>
    <col min="8708" max="8708" width="10.140625" style="448" bestFit="1" customWidth="1"/>
    <col min="8709" max="8709" width="8.42578125" style="448" bestFit="1" customWidth="1"/>
    <col min="8710" max="8710" width="9.28515625" style="448" customWidth="1"/>
    <col min="8711" max="8711" width="11.140625" style="448" bestFit="1" customWidth="1"/>
    <col min="8712" max="8712" width="10.28515625" style="448" bestFit="1" customWidth="1"/>
    <col min="8713" max="8713" width="8.28515625" style="448" customWidth="1"/>
    <col min="8714" max="8714" width="10.7109375" style="448" customWidth="1"/>
    <col min="8715" max="8715" width="11.42578125" style="448" customWidth="1"/>
    <col min="8716" max="8716" width="11.85546875" style="448" bestFit="1" customWidth="1"/>
    <col min="8717" max="8717" width="11.5703125" style="448" bestFit="1" customWidth="1"/>
    <col min="8718" max="8718" width="14.85546875" style="448" bestFit="1" customWidth="1"/>
    <col min="8719" max="8960" width="9.140625" style="448"/>
    <col min="8961" max="8961" width="11.28515625" style="448" customWidth="1"/>
    <col min="8962" max="8962" width="37.85546875" style="448" customWidth="1"/>
    <col min="8963" max="8963" width="9.85546875" style="448" customWidth="1"/>
    <col min="8964" max="8964" width="10.140625" style="448" bestFit="1" customWidth="1"/>
    <col min="8965" max="8965" width="8.42578125" style="448" bestFit="1" customWidth="1"/>
    <col min="8966" max="8966" width="9.28515625" style="448" customWidth="1"/>
    <col min="8967" max="8967" width="11.140625" style="448" bestFit="1" customWidth="1"/>
    <col min="8968" max="8968" width="10.28515625" style="448" bestFit="1" customWidth="1"/>
    <col min="8969" max="8969" width="8.28515625" style="448" customWidth="1"/>
    <col min="8970" max="8970" width="10.7109375" style="448" customWidth="1"/>
    <col min="8971" max="8971" width="11.42578125" style="448" customWidth="1"/>
    <col min="8972" max="8972" width="11.85546875" style="448" bestFit="1" customWidth="1"/>
    <col min="8973" max="8973" width="11.5703125" style="448" bestFit="1" customWidth="1"/>
    <col min="8974" max="8974" width="14.85546875" style="448" bestFit="1" customWidth="1"/>
    <col min="8975" max="9216" width="9.140625" style="448"/>
    <col min="9217" max="9217" width="11.28515625" style="448" customWidth="1"/>
    <col min="9218" max="9218" width="37.85546875" style="448" customWidth="1"/>
    <col min="9219" max="9219" width="9.85546875" style="448" customWidth="1"/>
    <col min="9220" max="9220" width="10.140625" style="448" bestFit="1" customWidth="1"/>
    <col min="9221" max="9221" width="8.42578125" style="448" bestFit="1" customWidth="1"/>
    <col min="9222" max="9222" width="9.28515625" style="448" customWidth="1"/>
    <col min="9223" max="9223" width="11.140625" style="448" bestFit="1" customWidth="1"/>
    <col min="9224" max="9224" width="10.28515625" style="448" bestFit="1" customWidth="1"/>
    <col min="9225" max="9225" width="8.28515625" style="448" customWidth="1"/>
    <col min="9226" max="9226" width="10.7109375" style="448" customWidth="1"/>
    <col min="9227" max="9227" width="11.42578125" style="448" customWidth="1"/>
    <col min="9228" max="9228" width="11.85546875" style="448" bestFit="1" customWidth="1"/>
    <col min="9229" max="9229" width="11.5703125" style="448" bestFit="1" customWidth="1"/>
    <col min="9230" max="9230" width="14.85546875" style="448" bestFit="1" customWidth="1"/>
    <col min="9231" max="9472" width="9.140625" style="448"/>
    <col min="9473" max="9473" width="11.28515625" style="448" customWidth="1"/>
    <col min="9474" max="9474" width="37.85546875" style="448" customWidth="1"/>
    <col min="9475" max="9475" width="9.85546875" style="448" customWidth="1"/>
    <col min="9476" max="9476" width="10.140625" style="448" bestFit="1" customWidth="1"/>
    <col min="9477" max="9477" width="8.42578125" style="448" bestFit="1" customWidth="1"/>
    <col min="9478" max="9478" width="9.28515625" style="448" customWidth="1"/>
    <col min="9479" max="9479" width="11.140625" style="448" bestFit="1" customWidth="1"/>
    <col min="9480" max="9480" width="10.28515625" style="448" bestFit="1" customWidth="1"/>
    <col min="9481" max="9481" width="8.28515625" style="448" customWidth="1"/>
    <col min="9482" max="9482" width="10.7109375" style="448" customWidth="1"/>
    <col min="9483" max="9483" width="11.42578125" style="448" customWidth="1"/>
    <col min="9484" max="9484" width="11.85546875" style="448" bestFit="1" customWidth="1"/>
    <col min="9485" max="9485" width="11.5703125" style="448" bestFit="1" customWidth="1"/>
    <col min="9486" max="9486" width="14.85546875" style="448" bestFit="1" customWidth="1"/>
    <col min="9487" max="9728" width="9.140625" style="448"/>
    <col min="9729" max="9729" width="11.28515625" style="448" customWidth="1"/>
    <col min="9730" max="9730" width="37.85546875" style="448" customWidth="1"/>
    <col min="9731" max="9731" width="9.85546875" style="448" customWidth="1"/>
    <col min="9732" max="9732" width="10.140625" style="448" bestFit="1" customWidth="1"/>
    <col min="9733" max="9733" width="8.42578125" style="448" bestFit="1" customWidth="1"/>
    <col min="9734" max="9734" width="9.28515625" style="448" customWidth="1"/>
    <col min="9735" max="9735" width="11.140625" style="448" bestFit="1" customWidth="1"/>
    <col min="9736" max="9736" width="10.28515625" style="448" bestFit="1" customWidth="1"/>
    <col min="9737" max="9737" width="8.28515625" style="448" customWidth="1"/>
    <col min="9738" max="9738" width="10.7109375" style="448" customWidth="1"/>
    <col min="9739" max="9739" width="11.42578125" style="448" customWidth="1"/>
    <col min="9740" max="9740" width="11.85546875" style="448" bestFit="1" customWidth="1"/>
    <col min="9741" max="9741" width="11.5703125" style="448" bestFit="1" customWidth="1"/>
    <col min="9742" max="9742" width="14.85546875" style="448" bestFit="1" customWidth="1"/>
    <col min="9743" max="9984" width="9.140625" style="448"/>
    <col min="9985" max="9985" width="11.28515625" style="448" customWidth="1"/>
    <col min="9986" max="9986" width="37.85546875" style="448" customWidth="1"/>
    <col min="9987" max="9987" width="9.85546875" style="448" customWidth="1"/>
    <col min="9988" max="9988" width="10.140625" style="448" bestFit="1" customWidth="1"/>
    <col min="9989" max="9989" width="8.42578125" style="448" bestFit="1" customWidth="1"/>
    <col min="9990" max="9990" width="9.28515625" style="448" customWidth="1"/>
    <col min="9991" max="9991" width="11.140625" style="448" bestFit="1" customWidth="1"/>
    <col min="9992" max="9992" width="10.28515625" style="448" bestFit="1" customWidth="1"/>
    <col min="9993" max="9993" width="8.28515625" style="448" customWidth="1"/>
    <col min="9994" max="9994" width="10.7109375" style="448" customWidth="1"/>
    <col min="9995" max="9995" width="11.42578125" style="448" customWidth="1"/>
    <col min="9996" max="9996" width="11.85546875" style="448" bestFit="1" customWidth="1"/>
    <col min="9997" max="9997" width="11.5703125" style="448" bestFit="1" customWidth="1"/>
    <col min="9998" max="9998" width="14.85546875" style="448" bestFit="1" customWidth="1"/>
    <col min="9999" max="10240" width="9.140625" style="448"/>
    <col min="10241" max="10241" width="11.28515625" style="448" customWidth="1"/>
    <col min="10242" max="10242" width="37.85546875" style="448" customWidth="1"/>
    <col min="10243" max="10243" width="9.85546875" style="448" customWidth="1"/>
    <col min="10244" max="10244" width="10.140625" style="448" bestFit="1" customWidth="1"/>
    <col min="10245" max="10245" width="8.42578125" style="448" bestFit="1" customWidth="1"/>
    <col min="10246" max="10246" width="9.28515625" style="448" customWidth="1"/>
    <col min="10247" max="10247" width="11.140625" style="448" bestFit="1" customWidth="1"/>
    <col min="10248" max="10248" width="10.28515625" style="448" bestFit="1" customWidth="1"/>
    <col min="10249" max="10249" width="8.28515625" style="448" customWidth="1"/>
    <col min="10250" max="10250" width="10.7109375" style="448" customWidth="1"/>
    <col min="10251" max="10251" width="11.42578125" style="448" customWidth="1"/>
    <col min="10252" max="10252" width="11.85546875" style="448" bestFit="1" customWidth="1"/>
    <col min="10253" max="10253" width="11.5703125" style="448" bestFit="1" customWidth="1"/>
    <col min="10254" max="10254" width="14.85546875" style="448" bestFit="1" customWidth="1"/>
    <col min="10255" max="10496" width="9.140625" style="448"/>
    <col min="10497" max="10497" width="11.28515625" style="448" customWidth="1"/>
    <col min="10498" max="10498" width="37.85546875" style="448" customWidth="1"/>
    <col min="10499" max="10499" width="9.85546875" style="448" customWidth="1"/>
    <col min="10500" max="10500" width="10.140625" style="448" bestFit="1" customWidth="1"/>
    <col min="10501" max="10501" width="8.42578125" style="448" bestFit="1" customWidth="1"/>
    <col min="10502" max="10502" width="9.28515625" style="448" customWidth="1"/>
    <col min="10503" max="10503" width="11.140625" style="448" bestFit="1" customWidth="1"/>
    <col min="10504" max="10504" width="10.28515625" style="448" bestFit="1" customWidth="1"/>
    <col min="10505" max="10505" width="8.28515625" style="448" customWidth="1"/>
    <col min="10506" max="10506" width="10.7109375" style="448" customWidth="1"/>
    <col min="10507" max="10507" width="11.42578125" style="448" customWidth="1"/>
    <col min="10508" max="10508" width="11.85546875" style="448" bestFit="1" customWidth="1"/>
    <col min="10509" max="10509" width="11.5703125" style="448" bestFit="1" customWidth="1"/>
    <col min="10510" max="10510" width="14.85546875" style="448" bestFit="1" customWidth="1"/>
    <col min="10511" max="10752" width="9.140625" style="448"/>
    <col min="10753" max="10753" width="11.28515625" style="448" customWidth="1"/>
    <col min="10754" max="10754" width="37.85546875" style="448" customWidth="1"/>
    <col min="10755" max="10755" width="9.85546875" style="448" customWidth="1"/>
    <col min="10756" max="10756" width="10.140625" style="448" bestFit="1" customWidth="1"/>
    <col min="10757" max="10757" width="8.42578125" style="448" bestFit="1" customWidth="1"/>
    <col min="10758" max="10758" width="9.28515625" style="448" customWidth="1"/>
    <col min="10759" max="10759" width="11.140625" style="448" bestFit="1" customWidth="1"/>
    <col min="10760" max="10760" width="10.28515625" style="448" bestFit="1" customWidth="1"/>
    <col min="10761" max="10761" width="8.28515625" style="448" customWidth="1"/>
    <col min="10762" max="10762" width="10.7109375" style="448" customWidth="1"/>
    <col min="10763" max="10763" width="11.42578125" style="448" customWidth="1"/>
    <col min="10764" max="10764" width="11.85546875" style="448" bestFit="1" customWidth="1"/>
    <col min="10765" max="10765" width="11.5703125" style="448" bestFit="1" customWidth="1"/>
    <col min="10766" max="10766" width="14.85546875" style="448" bestFit="1" customWidth="1"/>
    <col min="10767" max="11008" width="9.140625" style="448"/>
    <col min="11009" max="11009" width="11.28515625" style="448" customWidth="1"/>
    <col min="11010" max="11010" width="37.85546875" style="448" customWidth="1"/>
    <col min="11011" max="11011" width="9.85546875" style="448" customWidth="1"/>
    <col min="11012" max="11012" width="10.140625" style="448" bestFit="1" customWidth="1"/>
    <col min="11013" max="11013" width="8.42578125" style="448" bestFit="1" customWidth="1"/>
    <col min="11014" max="11014" width="9.28515625" style="448" customWidth="1"/>
    <col min="11015" max="11015" width="11.140625" style="448" bestFit="1" customWidth="1"/>
    <col min="11016" max="11016" width="10.28515625" style="448" bestFit="1" customWidth="1"/>
    <col min="11017" max="11017" width="8.28515625" style="448" customWidth="1"/>
    <col min="11018" max="11018" width="10.7109375" style="448" customWidth="1"/>
    <col min="11019" max="11019" width="11.42578125" style="448" customWidth="1"/>
    <col min="11020" max="11020" width="11.85546875" style="448" bestFit="1" customWidth="1"/>
    <col min="11021" max="11021" width="11.5703125" style="448" bestFit="1" customWidth="1"/>
    <col min="11022" max="11022" width="14.85546875" style="448" bestFit="1" customWidth="1"/>
    <col min="11023" max="11264" width="9.140625" style="448"/>
    <col min="11265" max="11265" width="11.28515625" style="448" customWidth="1"/>
    <col min="11266" max="11266" width="37.85546875" style="448" customWidth="1"/>
    <col min="11267" max="11267" width="9.85546875" style="448" customWidth="1"/>
    <col min="11268" max="11268" width="10.140625" style="448" bestFit="1" customWidth="1"/>
    <col min="11269" max="11269" width="8.42578125" style="448" bestFit="1" customWidth="1"/>
    <col min="11270" max="11270" width="9.28515625" style="448" customWidth="1"/>
    <col min="11271" max="11271" width="11.140625" style="448" bestFit="1" customWidth="1"/>
    <col min="11272" max="11272" width="10.28515625" style="448" bestFit="1" customWidth="1"/>
    <col min="11273" max="11273" width="8.28515625" style="448" customWidth="1"/>
    <col min="11274" max="11274" width="10.7109375" style="448" customWidth="1"/>
    <col min="11275" max="11275" width="11.42578125" style="448" customWidth="1"/>
    <col min="11276" max="11276" width="11.85546875" style="448" bestFit="1" customWidth="1"/>
    <col min="11277" max="11277" width="11.5703125" style="448" bestFit="1" customWidth="1"/>
    <col min="11278" max="11278" width="14.85546875" style="448" bestFit="1" customWidth="1"/>
    <col min="11279" max="11520" width="9.140625" style="448"/>
    <col min="11521" max="11521" width="11.28515625" style="448" customWidth="1"/>
    <col min="11522" max="11522" width="37.85546875" style="448" customWidth="1"/>
    <col min="11523" max="11523" width="9.85546875" style="448" customWidth="1"/>
    <col min="11524" max="11524" width="10.140625" style="448" bestFit="1" customWidth="1"/>
    <col min="11525" max="11525" width="8.42578125" style="448" bestFit="1" customWidth="1"/>
    <col min="11526" max="11526" width="9.28515625" style="448" customWidth="1"/>
    <col min="11527" max="11527" width="11.140625" style="448" bestFit="1" customWidth="1"/>
    <col min="11528" max="11528" width="10.28515625" style="448" bestFit="1" customWidth="1"/>
    <col min="11529" max="11529" width="8.28515625" style="448" customWidth="1"/>
    <col min="11530" max="11530" width="10.7109375" style="448" customWidth="1"/>
    <col min="11531" max="11531" width="11.42578125" style="448" customWidth="1"/>
    <col min="11532" max="11532" width="11.85546875" style="448" bestFit="1" customWidth="1"/>
    <col min="11533" max="11533" width="11.5703125" style="448" bestFit="1" customWidth="1"/>
    <col min="11534" max="11534" width="14.85546875" style="448" bestFit="1" customWidth="1"/>
    <col min="11535" max="11776" width="9.140625" style="448"/>
    <col min="11777" max="11777" width="11.28515625" style="448" customWidth="1"/>
    <col min="11778" max="11778" width="37.85546875" style="448" customWidth="1"/>
    <col min="11779" max="11779" width="9.85546875" style="448" customWidth="1"/>
    <col min="11780" max="11780" width="10.140625" style="448" bestFit="1" customWidth="1"/>
    <col min="11781" max="11781" width="8.42578125" style="448" bestFit="1" customWidth="1"/>
    <col min="11782" max="11782" width="9.28515625" style="448" customWidth="1"/>
    <col min="11783" max="11783" width="11.140625" style="448" bestFit="1" customWidth="1"/>
    <col min="11784" max="11784" width="10.28515625" style="448" bestFit="1" customWidth="1"/>
    <col min="11785" max="11785" width="8.28515625" style="448" customWidth="1"/>
    <col min="11786" max="11786" width="10.7109375" style="448" customWidth="1"/>
    <col min="11787" max="11787" width="11.42578125" style="448" customWidth="1"/>
    <col min="11788" max="11788" width="11.85546875" style="448" bestFit="1" customWidth="1"/>
    <col min="11789" max="11789" width="11.5703125" style="448" bestFit="1" customWidth="1"/>
    <col min="11790" max="11790" width="14.85546875" style="448" bestFit="1" customWidth="1"/>
    <col min="11791" max="12032" width="9.140625" style="448"/>
    <col min="12033" max="12033" width="11.28515625" style="448" customWidth="1"/>
    <col min="12034" max="12034" width="37.85546875" style="448" customWidth="1"/>
    <col min="12035" max="12035" width="9.85546875" style="448" customWidth="1"/>
    <col min="12036" max="12036" width="10.140625" style="448" bestFit="1" customWidth="1"/>
    <col min="12037" max="12037" width="8.42578125" style="448" bestFit="1" customWidth="1"/>
    <col min="12038" max="12038" width="9.28515625" style="448" customWidth="1"/>
    <col min="12039" max="12039" width="11.140625" style="448" bestFit="1" customWidth="1"/>
    <col min="12040" max="12040" width="10.28515625" style="448" bestFit="1" customWidth="1"/>
    <col min="12041" max="12041" width="8.28515625" style="448" customWidth="1"/>
    <col min="12042" max="12042" width="10.7109375" style="448" customWidth="1"/>
    <col min="12043" max="12043" width="11.42578125" style="448" customWidth="1"/>
    <col min="12044" max="12044" width="11.85546875" style="448" bestFit="1" customWidth="1"/>
    <col min="12045" max="12045" width="11.5703125" style="448" bestFit="1" customWidth="1"/>
    <col min="12046" max="12046" width="14.85546875" style="448" bestFit="1" customWidth="1"/>
    <col min="12047" max="12288" width="9.140625" style="448"/>
    <col min="12289" max="12289" width="11.28515625" style="448" customWidth="1"/>
    <col min="12290" max="12290" width="37.85546875" style="448" customWidth="1"/>
    <col min="12291" max="12291" width="9.85546875" style="448" customWidth="1"/>
    <col min="12292" max="12292" width="10.140625" style="448" bestFit="1" customWidth="1"/>
    <col min="12293" max="12293" width="8.42578125" style="448" bestFit="1" customWidth="1"/>
    <col min="12294" max="12294" width="9.28515625" style="448" customWidth="1"/>
    <col min="12295" max="12295" width="11.140625" style="448" bestFit="1" customWidth="1"/>
    <col min="12296" max="12296" width="10.28515625" style="448" bestFit="1" customWidth="1"/>
    <col min="12297" max="12297" width="8.28515625" style="448" customWidth="1"/>
    <col min="12298" max="12298" width="10.7109375" style="448" customWidth="1"/>
    <col min="12299" max="12299" width="11.42578125" style="448" customWidth="1"/>
    <col min="12300" max="12300" width="11.85546875" style="448" bestFit="1" customWidth="1"/>
    <col min="12301" max="12301" width="11.5703125" style="448" bestFit="1" customWidth="1"/>
    <col min="12302" max="12302" width="14.85546875" style="448" bestFit="1" customWidth="1"/>
    <col min="12303" max="12544" width="9.140625" style="448"/>
    <col min="12545" max="12545" width="11.28515625" style="448" customWidth="1"/>
    <col min="12546" max="12546" width="37.85546875" style="448" customWidth="1"/>
    <col min="12547" max="12547" width="9.85546875" style="448" customWidth="1"/>
    <col min="12548" max="12548" width="10.140625" style="448" bestFit="1" customWidth="1"/>
    <col min="12549" max="12549" width="8.42578125" style="448" bestFit="1" customWidth="1"/>
    <col min="12550" max="12550" width="9.28515625" style="448" customWidth="1"/>
    <col min="12551" max="12551" width="11.140625" style="448" bestFit="1" customWidth="1"/>
    <col min="12552" max="12552" width="10.28515625" style="448" bestFit="1" customWidth="1"/>
    <col min="12553" max="12553" width="8.28515625" style="448" customWidth="1"/>
    <col min="12554" max="12554" width="10.7109375" style="448" customWidth="1"/>
    <col min="12555" max="12555" width="11.42578125" style="448" customWidth="1"/>
    <col min="12556" max="12556" width="11.85546875" style="448" bestFit="1" customWidth="1"/>
    <col min="12557" max="12557" width="11.5703125" style="448" bestFit="1" customWidth="1"/>
    <col min="12558" max="12558" width="14.85546875" style="448" bestFit="1" customWidth="1"/>
    <col min="12559" max="12800" width="9.140625" style="448"/>
    <col min="12801" max="12801" width="11.28515625" style="448" customWidth="1"/>
    <col min="12802" max="12802" width="37.85546875" style="448" customWidth="1"/>
    <col min="12803" max="12803" width="9.85546875" style="448" customWidth="1"/>
    <col min="12804" max="12804" width="10.140625" style="448" bestFit="1" customWidth="1"/>
    <col min="12805" max="12805" width="8.42578125" style="448" bestFit="1" customWidth="1"/>
    <col min="12806" max="12806" width="9.28515625" style="448" customWidth="1"/>
    <col min="12807" max="12807" width="11.140625" style="448" bestFit="1" customWidth="1"/>
    <col min="12808" max="12808" width="10.28515625" style="448" bestFit="1" customWidth="1"/>
    <col min="12809" max="12809" width="8.28515625" style="448" customWidth="1"/>
    <col min="12810" max="12810" width="10.7109375" style="448" customWidth="1"/>
    <col min="12811" max="12811" width="11.42578125" style="448" customWidth="1"/>
    <col min="12812" max="12812" width="11.85546875" style="448" bestFit="1" customWidth="1"/>
    <col min="12813" max="12813" width="11.5703125" style="448" bestFit="1" customWidth="1"/>
    <col min="12814" max="12814" width="14.85546875" style="448" bestFit="1" customWidth="1"/>
    <col min="12815" max="13056" width="9.140625" style="448"/>
    <col min="13057" max="13057" width="11.28515625" style="448" customWidth="1"/>
    <col min="13058" max="13058" width="37.85546875" style="448" customWidth="1"/>
    <col min="13059" max="13059" width="9.85546875" style="448" customWidth="1"/>
    <col min="13060" max="13060" width="10.140625" style="448" bestFit="1" customWidth="1"/>
    <col min="13061" max="13061" width="8.42578125" style="448" bestFit="1" customWidth="1"/>
    <col min="13062" max="13062" width="9.28515625" style="448" customWidth="1"/>
    <col min="13063" max="13063" width="11.140625" style="448" bestFit="1" customWidth="1"/>
    <col min="13064" max="13064" width="10.28515625" style="448" bestFit="1" customWidth="1"/>
    <col min="13065" max="13065" width="8.28515625" style="448" customWidth="1"/>
    <col min="13066" max="13066" width="10.7109375" style="448" customWidth="1"/>
    <col min="13067" max="13067" width="11.42578125" style="448" customWidth="1"/>
    <col min="13068" max="13068" width="11.85546875" style="448" bestFit="1" customWidth="1"/>
    <col min="13069" max="13069" width="11.5703125" style="448" bestFit="1" customWidth="1"/>
    <col min="13070" max="13070" width="14.85546875" style="448" bestFit="1" customWidth="1"/>
    <col min="13071" max="13312" width="9.140625" style="448"/>
    <col min="13313" max="13313" width="11.28515625" style="448" customWidth="1"/>
    <col min="13314" max="13314" width="37.85546875" style="448" customWidth="1"/>
    <col min="13315" max="13315" width="9.85546875" style="448" customWidth="1"/>
    <col min="13316" max="13316" width="10.140625" style="448" bestFit="1" customWidth="1"/>
    <col min="13317" max="13317" width="8.42578125" style="448" bestFit="1" customWidth="1"/>
    <col min="13318" max="13318" width="9.28515625" style="448" customWidth="1"/>
    <col min="13319" max="13319" width="11.140625" style="448" bestFit="1" customWidth="1"/>
    <col min="13320" max="13320" width="10.28515625" style="448" bestFit="1" customWidth="1"/>
    <col min="13321" max="13321" width="8.28515625" style="448" customWidth="1"/>
    <col min="13322" max="13322" width="10.7109375" style="448" customWidth="1"/>
    <col min="13323" max="13323" width="11.42578125" style="448" customWidth="1"/>
    <col min="13324" max="13324" width="11.85546875" style="448" bestFit="1" customWidth="1"/>
    <col min="13325" max="13325" width="11.5703125" style="448" bestFit="1" customWidth="1"/>
    <col min="13326" max="13326" width="14.85546875" style="448" bestFit="1" customWidth="1"/>
    <col min="13327" max="13568" width="9.140625" style="448"/>
    <col min="13569" max="13569" width="11.28515625" style="448" customWidth="1"/>
    <col min="13570" max="13570" width="37.85546875" style="448" customWidth="1"/>
    <col min="13571" max="13571" width="9.85546875" style="448" customWidth="1"/>
    <col min="13572" max="13572" width="10.140625" style="448" bestFit="1" customWidth="1"/>
    <col min="13573" max="13573" width="8.42578125" style="448" bestFit="1" customWidth="1"/>
    <col min="13574" max="13574" width="9.28515625" style="448" customWidth="1"/>
    <col min="13575" max="13575" width="11.140625" style="448" bestFit="1" customWidth="1"/>
    <col min="13576" max="13576" width="10.28515625" style="448" bestFit="1" customWidth="1"/>
    <col min="13577" max="13577" width="8.28515625" style="448" customWidth="1"/>
    <col min="13578" max="13578" width="10.7109375" style="448" customWidth="1"/>
    <col min="13579" max="13579" width="11.42578125" style="448" customWidth="1"/>
    <col min="13580" max="13580" width="11.85546875" style="448" bestFit="1" customWidth="1"/>
    <col min="13581" max="13581" width="11.5703125" style="448" bestFit="1" customWidth="1"/>
    <col min="13582" max="13582" width="14.85546875" style="448" bestFit="1" customWidth="1"/>
    <col min="13583" max="13824" width="9.140625" style="448"/>
    <col min="13825" max="13825" width="11.28515625" style="448" customWidth="1"/>
    <col min="13826" max="13826" width="37.85546875" style="448" customWidth="1"/>
    <col min="13827" max="13827" width="9.85546875" style="448" customWidth="1"/>
    <col min="13828" max="13828" width="10.140625" style="448" bestFit="1" customWidth="1"/>
    <col min="13829" max="13829" width="8.42578125" style="448" bestFit="1" customWidth="1"/>
    <col min="13830" max="13830" width="9.28515625" style="448" customWidth="1"/>
    <col min="13831" max="13831" width="11.140625" style="448" bestFit="1" customWidth="1"/>
    <col min="13832" max="13832" width="10.28515625" style="448" bestFit="1" customWidth="1"/>
    <col min="13833" max="13833" width="8.28515625" style="448" customWidth="1"/>
    <col min="13834" max="13834" width="10.7109375" style="448" customWidth="1"/>
    <col min="13835" max="13835" width="11.42578125" style="448" customWidth="1"/>
    <col min="13836" max="13836" width="11.85546875" style="448" bestFit="1" customWidth="1"/>
    <col min="13837" max="13837" width="11.5703125" style="448" bestFit="1" customWidth="1"/>
    <col min="13838" max="13838" width="14.85546875" style="448" bestFit="1" customWidth="1"/>
    <col min="13839" max="14080" width="9.140625" style="448"/>
    <col min="14081" max="14081" width="11.28515625" style="448" customWidth="1"/>
    <col min="14082" max="14082" width="37.85546875" style="448" customWidth="1"/>
    <col min="14083" max="14083" width="9.85546875" style="448" customWidth="1"/>
    <col min="14084" max="14084" width="10.140625" style="448" bestFit="1" customWidth="1"/>
    <col min="14085" max="14085" width="8.42578125" style="448" bestFit="1" customWidth="1"/>
    <col min="14086" max="14086" width="9.28515625" style="448" customWidth="1"/>
    <col min="14087" max="14087" width="11.140625" style="448" bestFit="1" customWidth="1"/>
    <col min="14088" max="14088" width="10.28515625" style="448" bestFit="1" customWidth="1"/>
    <col min="14089" max="14089" width="8.28515625" style="448" customWidth="1"/>
    <col min="14090" max="14090" width="10.7109375" style="448" customWidth="1"/>
    <col min="14091" max="14091" width="11.42578125" style="448" customWidth="1"/>
    <col min="14092" max="14092" width="11.85546875" style="448" bestFit="1" customWidth="1"/>
    <col min="14093" max="14093" width="11.5703125" style="448" bestFit="1" customWidth="1"/>
    <col min="14094" max="14094" width="14.85546875" style="448" bestFit="1" customWidth="1"/>
    <col min="14095" max="14336" width="9.140625" style="448"/>
    <col min="14337" max="14337" width="11.28515625" style="448" customWidth="1"/>
    <col min="14338" max="14338" width="37.85546875" style="448" customWidth="1"/>
    <col min="14339" max="14339" width="9.85546875" style="448" customWidth="1"/>
    <col min="14340" max="14340" width="10.140625" style="448" bestFit="1" customWidth="1"/>
    <col min="14341" max="14341" width="8.42578125" style="448" bestFit="1" customWidth="1"/>
    <col min="14342" max="14342" width="9.28515625" style="448" customWidth="1"/>
    <col min="14343" max="14343" width="11.140625" style="448" bestFit="1" customWidth="1"/>
    <col min="14344" max="14344" width="10.28515625" style="448" bestFit="1" customWidth="1"/>
    <col min="14345" max="14345" width="8.28515625" style="448" customWidth="1"/>
    <col min="14346" max="14346" width="10.7109375" style="448" customWidth="1"/>
    <col min="14347" max="14347" width="11.42578125" style="448" customWidth="1"/>
    <col min="14348" max="14348" width="11.85546875" style="448" bestFit="1" customWidth="1"/>
    <col min="14349" max="14349" width="11.5703125" style="448" bestFit="1" customWidth="1"/>
    <col min="14350" max="14350" width="14.85546875" style="448" bestFit="1" customWidth="1"/>
    <col min="14351" max="14592" width="9.140625" style="448"/>
    <col min="14593" max="14593" width="11.28515625" style="448" customWidth="1"/>
    <col min="14594" max="14594" width="37.85546875" style="448" customWidth="1"/>
    <col min="14595" max="14595" width="9.85546875" style="448" customWidth="1"/>
    <col min="14596" max="14596" width="10.140625" style="448" bestFit="1" customWidth="1"/>
    <col min="14597" max="14597" width="8.42578125" style="448" bestFit="1" customWidth="1"/>
    <col min="14598" max="14598" width="9.28515625" style="448" customWidth="1"/>
    <col min="14599" max="14599" width="11.140625" style="448" bestFit="1" customWidth="1"/>
    <col min="14600" max="14600" width="10.28515625" style="448" bestFit="1" customWidth="1"/>
    <col min="14601" max="14601" width="8.28515625" style="448" customWidth="1"/>
    <col min="14602" max="14602" width="10.7109375" style="448" customWidth="1"/>
    <col min="14603" max="14603" width="11.42578125" style="448" customWidth="1"/>
    <col min="14604" max="14604" width="11.85546875" style="448" bestFit="1" customWidth="1"/>
    <col min="14605" max="14605" width="11.5703125" style="448" bestFit="1" customWidth="1"/>
    <col min="14606" max="14606" width="14.85546875" style="448" bestFit="1" customWidth="1"/>
    <col min="14607" max="14848" width="9.140625" style="448"/>
    <col min="14849" max="14849" width="11.28515625" style="448" customWidth="1"/>
    <col min="14850" max="14850" width="37.85546875" style="448" customWidth="1"/>
    <col min="14851" max="14851" width="9.85546875" style="448" customWidth="1"/>
    <col min="14852" max="14852" width="10.140625" style="448" bestFit="1" customWidth="1"/>
    <col min="14853" max="14853" width="8.42578125" style="448" bestFit="1" customWidth="1"/>
    <col min="14854" max="14854" width="9.28515625" style="448" customWidth="1"/>
    <col min="14855" max="14855" width="11.140625" style="448" bestFit="1" customWidth="1"/>
    <col min="14856" max="14856" width="10.28515625" style="448" bestFit="1" customWidth="1"/>
    <col min="14857" max="14857" width="8.28515625" style="448" customWidth="1"/>
    <col min="14858" max="14858" width="10.7109375" style="448" customWidth="1"/>
    <col min="14859" max="14859" width="11.42578125" style="448" customWidth="1"/>
    <col min="14860" max="14860" width="11.85546875" style="448" bestFit="1" customWidth="1"/>
    <col min="14861" max="14861" width="11.5703125" style="448" bestFit="1" customWidth="1"/>
    <col min="14862" max="14862" width="14.85546875" style="448" bestFit="1" customWidth="1"/>
    <col min="14863" max="15104" width="9.140625" style="448"/>
    <col min="15105" max="15105" width="11.28515625" style="448" customWidth="1"/>
    <col min="15106" max="15106" width="37.85546875" style="448" customWidth="1"/>
    <col min="15107" max="15107" width="9.85546875" style="448" customWidth="1"/>
    <col min="15108" max="15108" width="10.140625" style="448" bestFit="1" customWidth="1"/>
    <col min="15109" max="15109" width="8.42578125" style="448" bestFit="1" customWidth="1"/>
    <col min="15110" max="15110" width="9.28515625" style="448" customWidth="1"/>
    <col min="15111" max="15111" width="11.140625" style="448" bestFit="1" customWidth="1"/>
    <col min="15112" max="15112" width="10.28515625" style="448" bestFit="1" customWidth="1"/>
    <col min="15113" max="15113" width="8.28515625" style="448" customWidth="1"/>
    <col min="15114" max="15114" width="10.7109375" style="448" customWidth="1"/>
    <col min="15115" max="15115" width="11.42578125" style="448" customWidth="1"/>
    <col min="15116" max="15116" width="11.85546875" style="448" bestFit="1" customWidth="1"/>
    <col min="15117" max="15117" width="11.5703125" style="448" bestFit="1" customWidth="1"/>
    <col min="15118" max="15118" width="14.85546875" style="448" bestFit="1" customWidth="1"/>
    <col min="15119" max="15360" width="9.140625" style="448"/>
    <col min="15361" max="15361" width="11.28515625" style="448" customWidth="1"/>
    <col min="15362" max="15362" width="37.85546875" style="448" customWidth="1"/>
    <col min="15363" max="15363" width="9.85546875" style="448" customWidth="1"/>
    <col min="15364" max="15364" width="10.140625" style="448" bestFit="1" customWidth="1"/>
    <col min="15365" max="15365" width="8.42578125" style="448" bestFit="1" customWidth="1"/>
    <col min="15366" max="15366" width="9.28515625" style="448" customWidth="1"/>
    <col min="15367" max="15367" width="11.140625" style="448" bestFit="1" customWidth="1"/>
    <col min="15368" max="15368" width="10.28515625" style="448" bestFit="1" customWidth="1"/>
    <col min="15369" max="15369" width="8.28515625" style="448" customWidth="1"/>
    <col min="15370" max="15370" width="10.7109375" style="448" customWidth="1"/>
    <col min="15371" max="15371" width="11.42578125" style="448" customWidth="1"/>
    <col min="15372" max="15372" width="11.85546875" style="448" bestFit="1" customWidth="1"/>
    <col min="15373" max="15373" width="11.5703125" style="448" bestFit="1" customWidth="1"/>
    <col min="15374" max="15374" width="14.85546875" style="448" bestFit="1" customWidth="1"/>
    <col min="15375" max="15616" width="9.140625" style="448"/>
    <col min="15617" max="15617" width="11.28515625" style="448" customWidth="1"/>
    <col min="15618" max="15618" width="37.85546875" style="448" customWidth="1"/>
    <col min="15619" max="15619" width="9.85546875" style="448" customWidth="1"/>
    <col min="15620" max="15620" width="10.140625" style="448" bestFit="1" customWidth="1"/>
    <col min="15621" max="15621" width="8.42578125" style="448" bestFit="1" customWidth="1"/>
    <col min="15622" max="15622" width="9.28515625" style="448" customWidth="1"/>
    <col min="15623" max="15623" width="11.140625" style="448" bestFit="1" customWidth="1"/>
    <col min="15624" max="15624" width="10.28515625" style="448" bestFit="1" customWidth="1"/>
    <col min="15625" max="15625" width="8.28515625" style="448" customWidth="1"/>
    <col min="15626" max="15626" width="10.7109375" style="448" customWidth="1"/>
    <col min="15627" max="15627" width="11.42578125" style="448" customWidth="1"/>
    <col min="15628" max="15628" width="11.85546875" style="448" bestFit="1" customWidth="1"/>
    <col min="15629" max="15629" width="11.5703125" style="448" bestFit="1" customWidth="1"/>
    <col min="15630" max="15630" width="14.85546875" style="448" bestFit="1" customWidth="1"/>
    <col min="15631" max="15872" width="9.140625" style="448"/>
    <col min="15873" max="15873" width="11.28515625" style="448" customWidth="1"/>
    <col min="15874" max="15874" width="37.85546875" style="448" customWidth="1"/>
    <col min="15875" max="15875" width="9.85546875" style="448" customWidth="1"/>
    <col min="15876" max="15876" width="10.140625" style="448" bestFit="1" customWidth="1"/>
    <col min="15877" max="15877" width="8.42578125" style="448" bestFit="1" customWidth="1"/>
    <col min="15878" max="15878" width="9.28515625" style="448" customWidth="1"/>
    <col min="15879" max="15879" width="11.140625" style="448" bestFit="1" customWidth="1"/>
    <col min="15880" max="15880" width="10.28515625" style="448" bestFit="1" customWidth="1"/>
    <col min="15881" max="15881" width="8.28515625" style="448" customWidth="1"/>
    <col min="15882" max="15882" width="10.7109375" style="448" customWidth="1"/>
    <col min="15883" max="15883" width="11.42578125" style="448" customWidth="1"/>
    <col min="15884" max="15884" width="11.85546875" style="448" bestFit="1" customWidth="1"/>
    <col min="15885" max="15885" width="11.5703125" style="448" bestFit="1" customWidth="1"/>
    <col min="15886" max="15886" width="14.85546875" style="448" bestFit="1" customWidth="1"/>
    <col min="15887" max="16128" width="9.140625" style="448"/>
    <col min="16129" max="16129" width="11.28515625" style="448" customWidth="1"/>
    <col min="16130" max="16130" width="37.85546875" style="448" customWidth="1"/>
    <col min="16131" max="16131" width="9.85546875" style="448" customWidth="1"/>
    <col min="16132" max="16132" width="10.140625" style="448" bestFit="1" customWidth="1"/>
    <col min="16133" max="16133" width="8.42578125" style="448" bestFit="1" customWidth="1"/>
    <col min="16134" max="16134" width="9.28515625" style="448" customWidth="1"/>
    <col min="16135" max="16135" width="11.140625" style="448" bestFit="1" customWidth="1"/>
    <col min="16136" max="16136" width="10.28515625" style="448" bestFit="1" customWidth="1"/>
    <col min="16137" max="16137" width="8.28515625" style="448" customWidth="1"/>
    <col min="16138" max="16138" width="10.7109375" style="448" customWidth="1"/>
    <col min="16139" max="16139" width="11.42578125" style="448" customWidth="1"/>
    <col min="16140" max="16140" width="11.85546875" style="448" bestFit="1" customWidth="1"/>
    <col min="16141" max="16141" width="11.5703125" style="448" bestFit="1" customWidth="1"/>
    <col min="16142" max="16142" width="14.85546875" style="448" bestFit="1" customWidth="1"/>
    <col min="16143" max="16384" width="9.140625" style="448"/>
  </cols>
  <sheetData>
    <row r="1" spans="1:24" ht="15.75">
      <c r="N1" s="728" t="s">
        <v>659</v>
      </c>
      <c r="O1" s="728"/>
    </row>
    <row r="2" spans="1:24" s="452" customFormat="1" ht="18.75">
      <c r="A2" s="731" t="s">
        <v>660</v>
      </c>
      <c r="B2" s="731"/>
      <c r="C2" s="731"/>
      <c r="D2" s="731"/>
      <c r="E2" s="731"/>
      <c r="F2" s="731"/>
      <c r="G2" s="731"/>
      <c r="H2" s="731"/>
      <c r="I2" s="731"/>
      <c r="J2" s="731"/>
      <c r="K2" s="731"/>
      <c r="L2" s="731"/>
      <c r="M2" s="731"/>
      <c r="N2" s="731"/>
      <c r="O2" s="731"/>
    </row>
    <row r="3" spans="1:24" s="452" customFormat="1" ht="18.75">
      <c r="A3" s="453"/>
      <c r="B3" s="454"/>
      <c r="C3" s="454"/>
      <c r="D3" s="454"/>
      <c r="E3" s="618"/>
      <c r="F3" s="454"/>
      <c r="G3" s="618"/>
      <c r="H3" s="454"/>
      <c r="I3" s="618"/>
      <c r="J3" s="454"/>
      <c r="K3" s="454"/>
      <c r="L3" s="454"/>
      <c r="N3" s="455"/>
      <c r="O3" s="455" t="s">
        <v>119</v>
      </c>
    </row>
    <row r="4" spans="1:24" s="452" customFormat="1" ht="38.25" customHeight="1">
      <c r="A4" s="733" t="s">
        <v>170</v>
      </c>
      <c r="B4" s="734"/>
      <c r="C4" s="619"/>
      <c r="D4" s="738" t="s">
        <v>172</v>
      </c>
      <c r="E4" s="738"/>
      <c r="F4" s="738" t="s">
        <v>173</v>
      </c>
      <c r="G4" s="738"/>
      <c r="H4" s="739" t="s">
        <v>174</v>
      </c>
      <c r="I4" s="739"/>
      <c r="J4" s="457" t="s">
        <v>175</v>
      </c>
      <c r="K4" s="457" t="s">
        <v>661</v>
      </c>
      <c r="L4" s="457" t="s">
        <v>121</v>
      </c>
      <c r="M4" s="740" t="s">
        <v>122</v>
      </c>
      <c r="N4" s="740"/>
      <c r="O4" s="740"/>
    </row>
    <row r="5" spans="1:24" s="242" customFormat="1" ht="38.25" customHeight="1">
      <c r="A5" s="734"/>
      <c r="B5" s="734"/>
      <c r="C5" s="610" t="s">
        <v>171</v>
      </c>
      <c r="D5" s="628" t="s">
        <v>5</v>
      </c>
      <c r="E5" s="456" t="s">
        <v>803</v>
      </c>
      <c r="F5" s="628" t="s">
        <v>5</v>
      </c>
      <c r="G5" s="456" t="s">
        <v>803</v>
      </c>
      <c r="H5" s="628" t="s">
        <v>5</v>
      </c>
      <c r="I5" s="456" t="s">
        <v>803</v>
      </c>
      <c r="J5" s="741" t="s">
        <v>5</v>
      </c>
      <c r="K5" s="742"/>
      <c r="L5" s="743"/>
      <c r="M5" s="628" t="s">
        <v>5</v>
      </c>
      <c r="N5" s="628" t="s">
        <v>307</v>
      </c>
      <c r="O5" s="628" t="s">
        <v>1044</v>
      </c>
    </row>
    <row r="6" spans="1:24" s="52" customFormat="1" ht="15.75">
      <c r="A6" s="744" t="s">
        <v>176</v>
      </c>
      <c r="B6" s="745"/>
      <c r="C6" s="745"/>
      <c r="D6" s="745"/>
      <c r="E6" s="745"/>
      <c r="F6" s="745"/>
      <c r="G6" s="745"/>
      <c r="H6" s="745"/>
      <c r="I6" s="745"/>
      <c r="J6" s="745"/>
      <c r="K6" s="745"/>
      <c r="L6" s="745"/>
      <c r="M6" s="745"/>
      <c r="N6" s="745"/>
      <c r="O6" s="746"/>
    </row>
    <row r="7" spans="1:24" s="54" customFormat="1" ht="15.75">
      <c r="A7" s="243">
        <v>1</v>
      </c>
      <c r="B7" s="458" t="s">
        <v>177</v>
      </c>
      <c r="C7" s="459">
        <v>0</v>
      </c>
      <c r="D7" s="53"/>
      <c r="E7" s="53"/>
      <c r="F7" s="53"/>
      <c r="G7" s="53"/>
      <c r="H7" s="460">
        <v>1700</v>
      </c>
      <c r="I7" s="460"/>
      <c r="J7" s="460"/>
      <c r="K7" s="460"/>
      <c r="L7" s="460"/>
      <c r="M7" s="53">
        <f t="shared" ref="M7:M18" si="0">SUM(D7:L7)</f>
        <v>1700</v>
      </c>
      <c r="N7" s="53">
        <f>E7+G7+I7</f>
        <v>0</v>
      </c>
      <c r="O7" s="53">
        <f>SUM(M7:N7)</f>
        <v>1700</v>
      </c>
    </row>
    <row r="8" spans="1:24" s="54" customFormat="1" ht="15.75">
      <c r="A8" s="735" t="s">
        <v>178</v>
      </c>
      <c r="B8" s="735"/>
      <c r="C8" s="459">
        <v>0</v>
      </c>
      <c r="D8" s="53"/>
      <c r="E8" s="53"/>
      <c r="F8" s="53"/>
      <c r="G8" s="53"/>
      <c r="H8" s="460"/>
      <c r="I8" s="460"/>
      <c r="J8" s="460"/>
      <c r="K8" s="460"/>
      <c r="L8" s="460"/>
      <c r="M8" s="53"/>
      <c r="N8" s="53"/>
      <c r="O8" s="53"/>
    </row>
    <row r="9" spans="1:24" s="54" customFormat="1" ht="15.75">
      <c r="A9" s="243">
        <v>2</v>
      </c>
      <c r="B9" s="461" t="s">
        <v>179</v>
      </c>
      <c r="C9" s="459"/>
      <c r="D9" s="53"/>
      <c r="E9" s="53"/>
      <c r="F9" s="53"/>
      <c r="G9" s="53"/>
      <c r="H9" s="460">
        <v>2100</v>
      </c>
      <c r="I9" s="460"/>
      <c r="J9" s="460"/>
      <c r="K9" s="460"/>
      <c r="L9" s="460"/>
      <c r="M9" s="53">
        <f t="shared" si="0"/>
        <v>2100</v>
      </c>
      <c r="N9" s="53">
        <f t="shared" ref="N9:N19" si="1">E9+G9+I9</f>
        <v>0</v>
      </c>
      <c r="O9" s="53">
        <f t="shared" ref="O9:O19" si="2">SUM(M9:N9)</f>
        <v>2100</v>
      </c>
    </row>
    <row r="10" spans="1:24" s="54" customFormat="1" ht="15.75">
      <c r="A10" s="243">
        <v>3</v>
      </c>
      <c r="B10" s="461" t="s">
        <v>443</v>
      </c>
      <c r="C10" s="459"/>
      <c r="D10" s="53"/>
      <c r="E10" s="53"/>
      <c r="F10" s="53"/>
      <c r="G10" s="53"/>
      <c r="H10" s="460">
        <v>430</v>
      </c>
      <c r="I10" s="460"/>
      <c r="J10" s="460"/>
      <c r="K10" s="460"/>
      <c r="L10" s="460"/>
      <c r="M10" s="53">
        <f t="shared" si="0"/>
        <v>430</v>
      </c>
      <c r="N10" s="53">
        <f t="shared" si="1"/>
        <v>0</v>
      </c>
      <c r="O10" s="53">
        <f t="shared" si="2"/>
        <v>430</v>
      </c>
    </row>
    <row r="11" spans="1:24" s="54" customFormat="1" ht="15.75">
      <c r="A11" s="243">
        <v>4</v>
      </c>
      <c r="B11" s="461" t="s">
        <v>180</v>
      </c>
      <c r="C11" s="459"/>
      <c r="D11" s="53"/>
      <c r="E11" s="53"/>
      <c r="F11" s="53"/>
      <c r="G11" s="53"/>
      <c r="H11" s="460">
        <v>250</v>
      </c>
      <c r="I11" s="460"/>
      <c r="J11" s="460"/>
      <c r="K11" s="460"/>
      <c r="L11" s="460"/>
      <c r="M11" s="53">
        <f t="shared" si="0"/>
        <v>250</v>
      </c>
      <c r="N11" s="53">
        <f t="shared" si="1"/>
        <v>0</v>
      </c>
      <c r="O11" s="53">
        <f t="shared" si="2"/>
        <v>250</v>
      </c>
    </row>
    <row r="12" spans="1:24" s="54" customFormat="1" ht="15.75">
      <c r="A12" s="243">
        <v>5</v>
      </c>
      <c r="B12" s="461" t="s">
        <v>181</v>
      </c>
      <c r="C12" s="459"/>
      <c r="D12" s="53"/>
      <c r="E12" s="53"/>
      <c r="F12" s="53"/>
      <c r="G12" s="53"/>
      <c r="H12" s="460">
        <v>1900</v>
      </c>
      <c r="I12" s="460"/>
      <c r="J12" s="460"/>
      <c r="K12" s="460"/>
      <c r="L12" s="460"/>
      <c r="M12" s="53">
        <f t="shared" si="0"/>
        <v>1900</v>
      </c>
      <c r="N12" s="53">
        <f t="shared" si="1"/>
        <v>0</v>
      </c>
      <c r="O12" s="53">
        <f t="shared" si="2"/>
        <v>1900</v>
      </c>
    </row>
    <row r="13" spans="1:24" s="54" customFormat="1" ht="15.75">
      <c r="A13" s="243">
        <v>6</v>
      </c>
      <c r="B13" s="461" t="s">
        <v>182</v>
      </c>
      <c r="C13" s="459"/>
      <c r="D13" s="53"/>
      <c r="E13" s="53"/>
      <c r="F13" s="53"/>
      <c r="G13" s="53"/>
      <c r="H13" s="460">
        <v>22300</v>
      </c>
      <c r="I13" s="460"/>
      <c r="J13" s="460"/>
      <c r="K13" s="460"/>
      <c r="L13" s="460"/>
      <c r="M13" s="53">
        <f t="shared" si="0"/>
        <v>22300</v>
      </c>
      <c r="N13" s="53">
        <f t="shared" si="1"/>
        <v>0</v>
      </c>
      <c r="O13" s="53">
        <f t="shared" si="2"/>
        <v>22300</v>
      </c>
    </row>
    <row r="14" spans="1:24" s="54" customFormat="1" ht="15.75">
      <c r="A14" s="243">
        <v>7</v>
      </c>
      <c r="B14" s="461" t="s">
        <v>183</v>
      </c>
      <c r="C14" s="459"/>
      <c r="D14" s="53"/>
      <c r="E14" s="53"/>
      <c r="F14" s="53"/>
      <c r="G14" s="53"/>
      <c r="H14" s="460">
        <v>330</v>
      </c>
      <c r="I14" s="460"/>
      <c r="J14" s="460"/>
      <c r="K14" s="460"/>
      <c r="L14" s="460"/>
      <c r="M14" s="53">
        <f t="shared" si="0"/>
        <v>330</v>
      </c>
      <c r="N14" s="53">
        <f t="shared" si="1"/>
        <v>0</v>
      </c>
      <c r="O14" s="53">
        <f t="shared" si="2"/>
        <v>330</v>
      </c>
    </row>
    <row r="15" spans="1:24" s="54" customFormat="1" ht="15.75">
      <c r="A15" s="243">
        <v>8</v>
      </c>
      <c r="B15" s="461" t="s">
        <v>184</v>
      </c>
      <c r="C15" s="459"/>
      <c r="D15" s="53"/>
      <c r="E15" s="53"/>
      <c r="F15" s="53"/>
      <c r="G15" s="53"/>
      <c r="H15" s="460">
        <v>450</v>
      </c>
      <c r="I15" s="460"/>
      <c r="J15" s="460"/>
      <c r="K15" s="460"/>
      <c r="L15" s="460"/>
      <c r="M15" s="53">
        <f t="shared" si="0"/>
        <v>450</v>
      </c>
      <c r="N15" s="53">
        <f t="shared" si="1"/>
        <v>0</v>
      </c>
      <c r="O15" s="53">
        <f t="shared" si="2"/>
        <v>450</v>
      </c>
      <c r="P15" s="462"/>
      <c r="Q15" s="462"/>
      <c r="R15" s="462"/>
      <c r="S15" s="462"/>
      <c r="T15" s="462"/>
      <c r="U15" s="462"/>
      <c r="V15" s="462"/>
      <c r="W15" s="462"/>
      <c r="X15" s="462"/>
    </row>
    <row r="16" spans="1:24" s="54" customFormat="1" ht="63.75">
      <c r="A16" s="243">
        <v>9</v>
      </c>
      <c r="B16" s="244" t="s">
        <v>185</v>
      </c>
      <c r="C16" s="505"/>
      <c r="D16" s="51"/>
      <c r="E16" s="51"/>
      <c r="F16" s="51"/>
      <c r="G16" s="51"/>
      <c r="H16" s="49">
        <v>1000</v>
      </c>
      <c r="I16" s="49"/>
      <c r="J16" s="49"/>
      <c r="K16" s="49"/>
      <c r="L16" s="49"/>
      <c r="M16" s="51">
        <f t="shared" si="0"/>
        <v>1000</v>
      </c>
      <c r="N16" s="53">
        <f t="shared" si="1"/>
        <v>0</v>
      </c>
      <c r="O16" s="53">
        <f t="shared" si="2"/>
        <v>1000</v>
      </c>
      <c r="P16" s="462"/>
      <c r="Q16" s="462"/>
      <c r="R16" s="462"/>
      <c r="S16" s="462"/>
      <c r="T16" s="462"/>
      <c r="U16" s="462"/>
      <c r="V16" s="462"/>
      <c r="W16" s="462"/>
      <c r="X16" s="462"/>
    </row>
    <row r="17" spans="1:24" s="54" customFormat="1" ht="15.75">
      <c r="A17" s="243">
        <v>10</v>
      </c>
      <c r="B17" s="461" t="s">
        <v>186</v>
      </c>
      <c r="C17" s="459"/>
      <c r="D17" s="53"/>
      <c r="E17" s="53"/>
      <c r="F17" s="53"/>
      <c r="G17" s="53"/>
      <c r="H17" s="460">
        <v>700</v>
      </c>
      <c r="I17" s="460"/>
      <c r="J17" s="460"/>
      <c r="K17" s="460"/>
      <c r="L17" s="460"/>
      <c r="M17" s="53">
        <f t="shared" si="0"/>
        <v>700</v>
      </c>
      <c r="N17" s="53">
        <f t="shared" si="1"/>
        <v>0</v>
      </c>
      <c r="O17" s="53">
        <f t="shared" si="2"/>
        <v>700</v>
      </c>
      <c r="P17" s="462"/>
      <c r="Q17" s="462"/>
      <c r="R17" s="462"/>
      <c r="S17" s="462"/>
      <c r="T17" s="462"/>
      <c r="U17" s="462"/>
      <c r="V17" s="462"/>
      <c r="W17" s="462"/>
      <c r="X17" s="462"/>
    </row>
    <row r="18" spans="1:24" s="54" customFormat="1" ht="15.75">
      <c r="A18" s="243">
        <v>11</v>
      </c>
      <c r="B18" s="244" t="s">
        <v>1016</v>
      </c>
      <c r="C18" s="505"/>
      <c r="D18" s="51"/>
      <c r="E18" s="51"/>
      <c r="F18" s="51"/>
      <c r="G18" s="51"/>
      <c r="H18" s="49">
        <v>800</v>
      </c>
      <c r="I18" s="49"/>
      <c r="J18" s="49"/>
      <c r="K18" s="49"/>
      <c r="L18" s="49"/>
      <c r="M18" s="51">
        <f t="shared" si="0"/>
        <v>800</v>
      </c>
      <c r="N18" s="53">
        <f t="shared" si="1"/>
        <v>0</v>
      </c>
      <c r="O18" s="53">
        <f t="shared" si="2"/>
        <v>800</v>
      </c>
      <c r="P18" s="462"/>
      <c r="Q18" s="462"/>
      <c r="R18" s="462"/>
      <c r="S18" s="462"/>
      <c r="T18" s="462"/>
      <c r="U18" s="462"/>
      <c r="V18" s="462"/>
      <c r="W18" s="462"/>
      <c r="X18" s="462"/>
    </row>
    <row r="19" spans="1:24" s="451" customFormat="1" ht="15.75" customHeight="1">
      <c r="A19" s="736" t="s">
        <v>187</v>
      </c>
      <c r="B19" s="736"/>
      <c r="C19" s="463"/>
      <c r="D19" s="464">
        <f t="shared" ref="D19:M19" si="3">SUM(D6:D18)</f>
        <v>0</v>
      </c>
      <c r="E19" s="464"/>
      <c r="F19" s="464">
        <f t="shared" si="3"/>
        <v>0</v>
      </c>
      <c r="G19" s="464"/>
      <c r="H19" s="464">
        <f t="shared" si="3"/>
        <v>31960</v>
      </c>
      <c r="I19" s="464"/>
      <c r="J19" s="464">
        <f t="shared" si="3"/>
        <v>0</v>
      </c>
      <c r="K19" s="464">
        <f t="shared" si="3"/>
        <v>0</v>
      </c>
      <c r="L19" s="464">
        <f t="shared" si="3"/>
        <v>0</v>
      </c>
      <c r="M19" s="464">
        <f t="shared" si="3"/>
        <v>31960</v>
      </c>
      <c r="N19" s="53">
        <f t="shared" si="1"/>
        <v>0</v>
      </c>
      <c r="O19" s="53">
        <f t="shared" si="2"/>
        <v>31960</v>
      </c>
      <c r="P19" s="465"/>
      <c r="Q19" s="465"/>
      <c r="R19" s="465"/>
      <c r="S19" s="465"/>
      <c r="T19" s="465"/>
      <c r="U19" s="465"/>
      <c r="V19" s="465"/>
      <c r="W19" s="465"/>
      <c r="X19" s="465"/>
    </row>
    <row r="20" spans="1:24" s="451" customFormat="1" ht="15.75" customHeight="1">
      <c r="A20" s="620"/>
      <c r="B20" s="620"/>
      <c r="C20" s="463"/>
      <c r="D20" s="464"/>
      <c r="E20" s="464"/>
      <c r="F20" s="464"/>
      <c r="G20" s="464"/>
      <c r="H20" s="464"/>
      <c r="I20" s="464"/>
      <c r="J20" s="464"/>
      <c r="K20" s="464"/>
      <c r="M20" s="611"/>
      <c r="N20" s="729" t="s">
        <v>662</v>
      </c>
      <c r="O20" s="730"/>
      <c r="P20" s="465"/>
      <c r="Q20" s="465"/>
      <c r="R20" s="465"/>
      <c r="S20" s="465"/>
      <c r="T20" s="465"/>
      <c r="U20" s="465"/>
      <c r="V20" s="465"/>
      <c r="W20" s="465"/>
      <c r="X20" s="465"/>
    </row>
    <row r="21" spans="1:24" s="54" customFormat="1" ht="16.5">
      <c r="A21" s="747" t="s">
        <v>415</v>
      </c>
      <c r="B21" s="748"/>
      <c r="C21" s="748"/>
      <c r="D21" s="748"/>
      <c r="E21" s="748"/>
      <c r="F21" s="748"/>
      <c r="G21" s="748"/>
      <c r="H21" s="748"/>
      <c r="I21" s="748"/>
      <c r="J21" s="748"/>
      <c r="K21" s="748"/>
      <c r="L21" s="748"/>
      <c r="M21" s="748"/>
      <c r="N21" s="748"/>
      <c r="O21" s="749"/>
      <c r="P21" s="466"/>
      <c r="Q21" s="466"/>
      <c r="R21" s="466"/>
      <c r="S21" s="466"/>
      <c r="T21" s="466"/>
      <c r="U21" s="466"/>
      <c r="V21" s="466"/>
      <c r="W21" s="466"/>
      <c r="X21" s="462"/>
    </row>
    <row r="22" spans="1:24" s="54" customFormat="1" ht="15.75">
      <c r="A22" s="243">
        <v>12</v>
      </c>
      <c r="B22" s="458" t="s">
        <v>188</v>
      </c>
      <c r="C22" s="459">
        <v>1</v>
      </c>
      <c r="D22" s="53">
        <v>11815</v>
      </c>
      <c r="E22" s="53"/>
      <c r="F22" s="53">
        <v>1034</v>
      </c>
      <c r="G22" s="53"/>
      <c r="H22" s="467"/>
      <c r="I22" s="467"/>
      <c r="J22" s="460">
        <v>107</v>
      </c>
      <c r="K22" s="467"/>
      <c r="L22" s="460">
        <v>3520</v>
      </c>
      <c r="M22" s="53">
        <f>SUM(D22:L22)</f>
        <v>16476</v>
      </c>
      <c r="N22" s="53">
        <f t="shared" ref="N22:N33" si="4">E22+G22+I22</f>
        <v>0</v>
      </c>
      <c r="O22" s="53">
        <f>SUM(M22:N22)</f>
        <v>16476</v>
      </c>
      <c r="P22" s="462"/>
      <c r="Q22" s="462"/>
      <c r="R22" s="462"/>
      <c r="S22" s="462"/>
      <c r="T22" s="462"/>
      <c r="U22" s="462"/>
      <c r="V22" s="462"/>
      <c r="W22" s="462"/>
      <c r="X22" s="462"/>
    </row>
    <row r="23" spans="1:24" s="54" customFormat="1" ht="15.75">
      <c r="A23" s="243">
        <v>13</v>
      </c>
      <c r="B23" s="458" t="s">
        <v>189</v>
      </c>
      <c r="C23" s="459">
        <v>0.8</v>
      </c>
      <c r="D23" s="53">
        <v>80000</v>
      </c>
      <c r="E23" s="53"/>
      <c r="F23" s="53">
        <v>7000</v>
      </c>
      <c r="G23" s="53"/>
      <c r="H23" s="460"/>
      <c r="I23" s="460"/>
      <c r="J23" s="460">
        <v>3000</v>
      </c>
      <c r="K23" s="460"/>
      <c r="L23" s="460">
        <v>3040</v>
      </c>
      <c r="M23" s="53">
        <f>SUM(D23:L23)</f>
        <v>93040</v>
      </c>
      <c r="N23" s="53">
        <f t="shared" si="4"/>
        <v>0</v>
      </c>
      <c r="O23" s="53">
        <f t="shared" ref="O23:O33" si="5">SUM(M23:N23)</f>
        <v>93040</v>
      </c>
      <c r="P23" s="462"/>
      <c r="Q23" s="462"/>
      <c r="R23" s="462"/>
      <c r="S23" s="462"/>
      <c r="T23" s="462"/>
      <c r="U23" s="462"/>
      <c r="V23" s="462"/>
      <c r="W23" s="462"/>
      <c r="X23" s="462"/>
    </row>
    <row r="24" spans="1:24" s="54" customFormat="1" ht="15.75">
      <c r="A24" s="243">
        <v>14</v>
      </c>
      <c r="B24" s="458" t="s">
        <v>190</v>
      </c>
      <c r="C24" s="459"/>
      <c r="D24" s="53">
        <f>D31+D32</f>
        <v>57506</v>
      </c>
      <c r="E24" s="53"/>
      <c r="F24" s="53">
        <f>F31+F32</f>
        <v>5032</v>
      </c>
      <c r="G24" s="53"/>
      <c r="H24" s="53"/>
      <c r="I24" s="53"/>
      <c r="J24" s="53">
        <f>J31+J32</f>
        <v>626</v>
      </c>
      <c r="K24" s="53"/>
      <c r="L24" s="53">
        <f t="shared" ref="L24:M24" si="6">L31+L32</f>
        <v>11470</v>
      </c>
      <c r="M24" s="53">
        <f t="shared" si="6"/>
        <v>74634</v>
      </c>
      <c r="N24" s="53">
        <f t="shared" si="4"/>
        <v>0</v>
      </c>
      <c r="O24" s="53">
        <f t="shared" si="5"/>
        <v>74634</v>
      </c>
    </row>
    <row r="25" spans="1:24" s="54" customFormat="1" ht="15.75" hidden="1">
      <c r="A25" s="243"/>
      <c r="B25" s="468" t="s">
        <v>663</v>
      </c>
      <c r="C25" s="459"/>
      <c r="D25" s="53"/>
      <c r="E25" s="53"/>
      <c r="F25" s="53"/>
      <c r="G25" s="53"/>
      <c r="H25" s="460"/>
      <c r="I25" s="460"/>
      <c r="J25" s="460"/>
      <c r="K25" s="460"/>
      <c r="L25" s="460"/>
      <c r="M25" s="53"/>
      <c r="N25" s="53">
        <f t="shared" si="4"/>
        <v>0</v>
      </c>
      <c r="O25" s="53">
        <f t="shared" si="5"/>
        <v>0</v>
      </c>
    </row>
    <row r="26" spans="1:24" s="54" customFormat="1" ht="15.75" hidden="1">
      <c r="A26" s="243"/>
      <c r="B26" s="468" t="s">
        <v>664</v>
      </c>
      <c r="C26" s="459"/>
      <c r="D26" s="53"/>
      <c r="E26" s="53"/>
      <c r="F26" s="53"/>
      <c r="G26" s="53"/>
      <c r="H26" s="460"/>
      <c r="I26" s="460"/>
      <c r="J26" s="460"/>
      <c r="K26" s="460"/>
      <c r="L26" s="460"/>
      <c r="M26" s="53"/>
      <c r="N26" s="53">
        <f t="shared" si="4"/>
        <v>0</v>
      </c>
      <c r="O26" s="53">
        <f t="shared" si="5"/>
        <v>0</v>
      </c>
    </row>
    <row r="27" spans="1:24" s="54" customFormat="1" ht="15.75" hidden="1">
      <c r="A27" s="243"/>
      <c r="B27" s="468" t="s">
        <v>665</v>
      </c>
      <c r="C27" s="459"/>
      <c r="D27" s="53"/>
      <c r="E27" s="53"/>
      <c r="F27" s="53"/>
      <c r="G27" s="53"/>
      <c r="H27" s="460"/>
      <c r="I27" s="460"/>
      <c r="J27" s="460"/>
      <c r="K27" s="460"/>
      <c r="L27" s="460"/>
      <c r="M27" s="53"/>
      <c r="N27" s="53">
        <f t="shared" si="4"/>
        <v>0</v>
      </c>
      <c r="O27" s="53">
        <f t="shared" si="5"/>
        <v>0</v>
      </c>
    </row>
    <row r="28" spans="1:24" s="54" customFormat="1" ht="15.75" hidden="1">
      <c r="A28" s="243"/>
      <c r="B28" s="468" t="s">
        <v>666</v>
      </c>
      <c r="C28" s="459"/>
      <c r="D28" s="53"/>
      <c r="E28" s="53"/>
      <c r="F28" s="53"/>
      <c r="G28" s="53"/>
      <c r="H28" s="460"/>
      <c r="I28" s="460"/>
      <c r="J28" s="460"/>
      <c r="K28" s="460"/>
      <c r="L28" s="460"/>
      <c r="M28" s="53"/>
      <c r="N28" s="53">
        <f t="shared" si="4"/>
        <v>0</v>
      </c>
      <c r="O28" s="53">
        <f t="shared" si="5"/>
        <v>0</v>
      </c>
    </row>
    <row r="29" spans="1:24" s="54" customFormat="1" ht="15.75" hidden="1">
      <c r="A29" s="243"/>
      <c r="B29" s="468" t="s">
        <v>667</v>
      </c>
      <c r="C29" s="459"/>
      <c r="D29" s="53"/>
      <c r="E29" s="53"/>
      <c r="F29" s="53"/>
      <c r="G29" s="53"/>
      <c r="H29" s="460"/>
      <c r="I29" s="460"/>
      <c r="J29" s="460"/>
      <c r="K29" s="460"/>
      <c r="L29" s="460"/>
      <c r="M29" s="53"/>
      <c r="N29" s="53">
        <f t="shared" si="4"/>
        <v>0</v>
      </c>
      <c r="O29" s="53">
        <f t="shared" si="5"/>
        <v>0</v>
      </c>
    </row>
    <row r="30" spans="1:24" s="54" customFormat="1" ht="15.75" hidden="1">
      <c r="A30" s="243"/>
      <c r="B30" s="468" t="s">
        <v>668</v>
      </c>
      <c r="C30" s="459"/>
      <c r="D30" s="53"/>
      <c r="E30" s="53"/>
      <c r="F30" s="53"/>
      <c r="G30" s="53"/>
      <c r="H30" s="460"/>
      <c r="I30" s="460"/>
      <c r="J30" s="460"/>
      <c r="K30" s="460"/>
      <c r="L30" s="460"/>
      <c r="M30" s="53"/>
      <c r="N30" s="53">
        <f t="shared" si="4"/>
        <v>0</v>
      </c>
      <c r="O30" s="53">
        <f t="shared" si="5"/>
        <v>0</v>
      </c>
    </row>
    <row r="31" spans="1:24" s="54" customFormat="1" ht="15.75">
      <c r="A31" s="243"/>
      <c r="B31" s="469" t="s">
        <v>446</v>
      </c>
      <c r="C31" s="459" t="s">
        <v>447</v>
      </c>
      <c r="D31" s="53">
        <v>45017</v>
      </c>
      <c r="E31" s="53"/>
      <c r="F31" s="53">
        <v>3939</v>
      </c>
      <c r="G31" s="53"/>
      <c r="H31" s="460"/>
      <c r="I31" s="460"/>
      <c r="J31" s="460">
        <v>626</v>
      </c>
      <c r="K31" s="460"/>
      <c r="L31" s="460">
        <v>9580</v>
      </c>
      <c r="M31" s="53">
        <f>SUM(D31:L31)</f>
        <v>59162</v>
      </c>
      <c r="N31" s="53">
        <f t="shared" si="4"/>
        <v>0</v>
      </c>
      <c r="O31" s="53">
        <f t="shared" si="5"/>
        <v>59162</v>
      </c>
    </row>
    <row r="32" spans="1:24" s="54" customFormat="1" ht="15.75">
      <c r="A32" s="243"/>
      <c r="B32" s="469" t="s">
        <v>448</v>
      </c>
      <c r="C32" s="459">
        <v>1</v>
      </c>
      <c r="D32" s="53">
        <v>12489</v>
      </c>
      <c r="E32" s="53"/>
      <c r="F32" s="53">
        <v>1093</v>
      </c>
      <c r="G32" s="53"/>
      <c r="H32" s="460"/>
      <c r="I32" s="460"/>
      <c r="J32" s="460">
        <v>0</v>
      </c>
      <c r="K32" s="460"/>
      <c r="L32" s="460">
        <v>1890</v>
      </c>
      <c r="M32" s="53">
        <f>SUM(D32:L32)</f>
        <v>15472</v>
      </c>
      <c r="N32" s="53">
        <f t="shared" si="4"/>
        <v>0</v>
      </c>
      <c r="O32" s="53">
        <f t="shared" si="5"/>
        <v>15472</v>
      </c>
    </row>
    <row r="33" spans="1:15" s="54" customFormat="1" ht="15.75">
      <c r="A33" s="243">
        <v>15</v>
      </c>
      <c r="B33" s="469" t="s">
        <v>191</v>
      </c>
      <c r="C33" s="459">
        <v>1</v>
      </c>
      <c r="D33" s="53">
        <v>7672</v>
      </c>
      <c r="E33" s="53"/>
      <c r="F33" s="53">
        <v>671</v>
      </c>
      <c r="G33" s="53"/>
      <c r="H33" s="460"/>
      <c r="I33" s="460"/>
      <c r="J33" s="460"/>
      <c r="K33" s="460"/>
      <c r="L33" s="460"/>
      <c r="M33" s="53">
        <f>SUM(D33:L33)</f>
        <v>8343</v>
      </c>
      <c r="N33" s="53">
        <f t="shared" si="4"/>
        <v>0</v>
      </c>
      <c r="O33" s="53">
        <f t="shared" si="5"/>
        <v>8343</v>
      </c>
    </row>
    <row r="34" spans="1:15" s="451" customFormat="1" ht="15.75">
      <c r="A34" s="737" t="s">
        <v>799</v>
      </c>
      <c r="B34" s="737"/>
      <c r="C34" s="463"/>
      <c r="D34" s="464">
        <f t="shared" ref="D34:O34" si="7">D22+D23+D24+D33</f>
        <v>156993</v>
      </c>
      <c r="E34" s="464">
        <f t="shared" si="7"/>
        <v>0</v>
      </c>
      <c r="F34" s="464">
        <f t="shared" si="7"/>
        <v>13737</v>
      </c>
      <c r="G34" s="464">
        <f t="shared" si="7"/>
        <v>0</v>
      </c>
      <c r="H34" s="464">
        <f t="shared" si="7"/>
        <v>0</v>
      </c>
      <c r="I34" s="464">
        <f t="shared" si="7"/>
        <v>0</v>
      </c>
      <c r="J34" s="464">
        <f t="shared" si="7"/>
        <v>3733</v>
      </c>
      <c r="K34" s="464">
        <f t="shared" si="7"/>
        <v>0</v>
      </c>
      <c r="L34" s="464">
        <f t="shared" si="7"/>
        <v>18030</v>
      </c>
      <c r="M34" s="464">
        <f t="shared" si="7"/>
        <v>192493</v>
      </c>
      <c r="N34" s="464">
        <f t="shared" si="7"/>
        <v>0</v>
      </c>
      <c r="O34" s="464">
        <f t="shared" si="7"/>
        <v>192493</v>
      </c>
    </row>
    <row r="35" spans="1:15" s="52" customFormat="1" ht="21" customHeight="1">
      <c r="A35" s="732" t="s">
        <v>192</v>
      </c>
      <c r="B35" s="732"/>
      <c r="C35" s="245"/>
      <c r="D35" s="51">
        <f t="shared" ref="D35:O35" si="8">D19+D34</f>
        <v>156993</v>
      </c>
      <c r="E35" s="51">
        <f t="shared" si="8"/>
        <v>0</v>
      </c>
      <c r="F35" s="51">
        <f t="shared" si="8"/>
        <v>13737</v>
      </c>
      <c r="G35" s="51">
        <f t="shared" si="8"/>
        <v>0</v>
      </c>
      <c r="H35" s="51">
        <f t="shared" si="8"/>
        <v>31960</v>
      </c>
      <c r="I35" s="51">
        <f t="shared" si="8"/>
        <v>0</v>
      </c>
      <c r="J35" s="51">
        <f t="shared" si="8"/>
        <v>3733</v>
      </c>
      <c r="K35" s="51">
        <f t="shared" si="8"/>
        <v>0</v>
      </c>
      <c r="L35" s="51">
        <f t="shared" si="8"/>
        <v>18030</v>
      </c>
      <c r="M35" s="51">
        <f t="shared" si="8"/>
        <v>224453</v>
      </c>
      <c r="N35" s="51">
        <f t="shared" si="8"/>
        <v>0</v>
      </c>
      <c r="O35" s="51">
        <f t="shared" si="8"/>
        <v>224453</v>
      </c>
    </row>
  </sheetData>
  <mergeCells count="15">
    <mergeCell ref="N1:O1"/>
    <mergeCell ref="N20:O20"/>
    <mergeCell ref="A2:O2"/>
    <mergeCell ref="A35:B35"/>
    <mergeCell ref="A4:B5"/>
    <mergeCell ref="A8:B8"/>
    <mergeCell ref="A19:B19"/>
    <mergeCell ref="A34:B34"/>
    <mergeCell ref="D4:E4"/>
    <mergeCell ref="F4:G4"/>
    <mergeCell ref="H4:I4"/>
    <mergeCell ref="M4:O4"/>
    <mergeCell ref="J5:L5"/>
    <mergeCell ref="A6:O6"/>
    <mergeCell ref="A21:O21"/>
  </mergeCells>
  <printOptions horizontalCentered="1" verticalCentered="1"/>
  <pageMargins left="0.19685039370078741" right="0.19685039370078741" top="0" bottom="0" header="0" footer="0"/>
  <pageSetup paperSize="9" scale="86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9"/>
  <sheetViews>
    <sheetView view="pageBreakPreview" zoomScaleNormal="100" zoomScaleSheetLayoutView="100" workbookViewId="0">
      <selection activeCell="A2" sqref="A2:F2"/>
    </sheetView>
  </sheetViews>
  <sheetFormatPr defaultColWidth="8.85546875" defaultRowHeight="15"/>
  <cols>
    <col min="1" max="1" width="5.28515625" style="471" customWidth="1"/>
    <col min="2" max="2" width="64.5703125" style="472" customWidth="1"/>
    <col min="3" max="3" width="39.7109375" style="471" customWidth="1"/>
    <col min="4" max="4" width="16.28515625" style="474" customWidth="1"/>
    <col min="5" max="5" width="14.5703125" style="474" customWidth="1"/>
    <col min="6" max="6" width="14.28515625" style="474" customWidth="1"/>
    <col min="7" max="16384" width="8.85546875" style="474"/>
  </cols>
  <sheetData>
    <row r="1" spans="1:6" ht="15.75" customHeight="1">
      <c r="E1" s="750" t="s">
        <v>1066</v>
      </c>
      <c r="F1" s="750"/>
    </row>
    <row r="2" spans="1:6" ht="15.75" customHeight="1">
      <c r="A2" s="758" t="s">
        <v>682</v>
      </c>
      <c r="B2" s="758"/>
      <c r="C2" s="758"/>
      <c r="D2" s="758"/>
      <c r="E2" s="758"/>
      <c r="F2" s="758"/>
    </row>
    <row r="3" spans="1:6" ht="15.75">
      <c r="A3" s="759" t="s">
        <v>683</v>
      </c>
      <c r="B3" s="759"/>
      <c r="C3" s="759"/>
      <c r="D3" s="759"/>
      <c r="E3" s="759"/>
      <c r="F3" s="759"/>
    </row>
    <row r="4" spans="1:6" ht="15.75">
      <c r="A4" s="760" t="s">
        <v>684</v>
      </c>
      <c r="B4" s="760"/>
      <c r="C4" s="760"/>
      <c r="D4" s="760"/>
      <c r="E4" s="760"/>
      <c r="F4" s="760"/>
    </row>
    <row r="5" spans="1:6">
      <c r="E5" s="476"/>
      <c r="F5" s="476" t="s">
        <v>119</v>
      </c>
    </row>
    <row r="6" spans="1:6" s="473" customFormat="1" ht="28.5">
      <c r="A6" s="477" t="s">
        <v>685</v>
      </c>
      <c r="B6" s="477" t="s">
        <v>686</v>
      </c>
      <c r="C6" s="477" t="s">
        <v>687</v>
      </c>
      <c r="D6" s="369" t="s">
        <v>688</v>
      </c>
      <c r="E6" s="369" t="s">
        <v>803</v>
      </c>
      <c r="F6" s="369" t="s">
        <v>1045</v>
      </c>
    </row>
    <row r="7" spans="1:6" ht="15" customHeight="1">
      <c r="A7" s="751" t="s">
        <v>689</v>
      </c>
      <c r="B7" s="752"/>
      <c r="C7" s="752"/>
      <c r="D7" s="752"/>
      <c r="E7" s="752"/>
      <c r="F7" s="753"/>
    </row>
    <row r="8" spans="1:6" s="472" customFormat="1" ht="30">
      <c r="A8" s="479">
        <v>1</v>
      </c>
      <c r="B8" s="137" t="s">
        <v>690</v>
      </c>
      <c r="C8" s="479" t="s">
        <v>691</v>
      </c>
      <c r="D8" s="24">
        <v>198438</v>
      </c>
      <c r="E8" s="24"/>
      <c r="F8" s="24">
        <f>SUM(D8:E8)</f>
        <v>198438</v>
      </c>
    </row>
    <row r="9" spans="1:6" s="472" customFormat="1" ht="15.75">
      <c r="A9" s="479">
        <v>2</v>
      </c>
      <c r="B9" s="137" t="s">
        <v>692</v>
      </c>
      <c r="C9" s="479" t="s">
        <v>693</v>
      </c>
      <c r="D9" s="24">
        <v>60187</v>
      </c>
      <c r="E9" s="24"/>
      <c r="F9" s="24">
        <f t="shared" ref="F9:F29" si="0">SUM(D9:E9)</f>
        <v>60187</v>
      </c>
    </row>
    <row r="10" spans="1:6" s="472" customFormat="1" ht="15.75">
      <c r="A10" s="479">
        <v>3</v>
      </c>
      <c r="B10" s="137" t="s">
        <v>694</v>
      </c>
      <c r="C10" s="479" t="s">
        <v>695</v>
      </c>
      <c r="D10" s="24">
        <v>188734</v>
      </c>
      <c r="E10" s="24"/>
      <c r="F10" s="24">
        <f t="shared" si="0"/>
        <v>188734</v>
      </c>
    </row>
    <row r="11" spans="1:6" s="472" customFormat="1" ht="15.75">
      <c r="A11" s="479">
        <v>4</v>
      </c>
      <c r="B11" s="137" t="s">
        <v>696</v>
      </c>
      <c r="C11" s="479" t="s">
        <v>697</v>
      </c>
      <c r="D11" s="24">
        <v>1969</v>
      </c>
      <c r="E11" s="24"/>
      <c r="F11" s="24">
        <f t="shared" si="0"/>
        <v>1969</v>
      </c>
    </row>
    <row r="12" spans="1:6" s="472" customFormat="1" ht="31.5">
      <c r="A12" s="479">
        <v>5</v>
      </c>
      <c r="B12" s="385" t="s">
        <v>698</v>
      </c>
      <c r="C12" s="482" t="s">
        <v>699</v>
      </c>
      <c r="D12" s="24">
        <v>1246096</v>
      </c>
      <c r="E12" s="24"/>
      <c r="F12" s="24">
        <f t="shared" si="0"/>
        <v>1246096</v>
      </c>
    </row>
    <row r="13" spans="1:6" s="472" customFormat="1" ht="15.75">
      <c r="A13" s="479">
        <v>6</v>
      </c>
      <c r="B13" s="385" t="s">
        <v>700</v>
      </c>
      <c r="C13" s="482" t="s">
        <v>701</v>
      </c>
      <c r="D13" s="24">
        <v>17780</v>
      </c>
      <c r="E13" s="24"/>
      <c r="F13" s="24">
        <f t="shared" si="0"/>
        <v>17780</v>
      </c>
    </row>
    <row r="14" spans="1:6" s="472" customFormat="1" ht="31.5">
      <c r="A14" s="479">
        <v>7</v>
      </c>
      <c r="B14" s="138" t="s">
        <v>702</v>
      </c>
      <c r="C14" s="479" t="s">
        <v>703</v>
      </c>
      <c r="D14" s="24">
        <v>277297</v>
      </c>
      <c r="E14" s="24"/>
      <c r="F14" s="24">
        <f t="shared" si="0"/>
        <v>277297</v>
      </c>
    </row>
    <row r="15" spans="1:6" s="472" customFormat="1" ht="31.5">
      <c r="A15" s="479">
        <v>8</v>
      </c>
      <c r="B15" s="385" t="s">
        <v>704</v>
      </c>
      <c r="C15" s="479" t="s">
        <v>705</v>
      </c>
      <c r="D15" s="24">
        <v>453</v>
      </c>
      <c r="E15" s="24"/>
      <c r="F15" s="24">
        <f t="shared" si="0"/>
        <v>453</v>
      </c>
    </row>
    <row r="16" spans="1:6" s="472" customFormat="1" ht="31.5">
      <c r="A16" s="479">
        <v>9</v>
      </c>
      <c r="B16" s="137" t="s">
        <v>706</v>
      </c>
      <c r="C16" s="483" t="s">
        <v>707</v>
      </c>
      <c r="D16" s="24">
        <v>4794</v>
      </c>
      <c r="E16" s="24"/>
      <c r="F16" s="24">
        <f t="shared" si="0"/>
        <v>4794</v>
      </c>
    </row>
    <row r="17" spans="1:6" s="472" customFormat="1" ht="19.5" customHeight="1">
      <c r="A17" s="479">
        <v>10</v>
      </c>
      <c r="B17" s="137" t="s">
        <v>966</v>
      </c>
      <c r="C17" s="483" t="s">
        <v>708</v>
      </c>
      <c r="D17" s="24">
        <v>162896</v>
      </c>
      <c r="E17" s="24"/>
      <c r="F17" s="24">
        <f t="shared" si="0"/>
        <v>162896</v>
      </c>
    </row>
    <row r="18" spans="1:6" s="472" customFormat="1" ht="30">
      <c r="A18" s="479">
        <v>11</v>
      </c>
      <c r="B18" s="137" t="s">
        <v>710</v>
      </c>
      <c r="C18" s="483" t="s">
        <v>711</v>
      </c>
      <c r="D18" s="24">
        <v>125607</v>
      </c>
      <c r="E18" s="24">
        <v>60148</v>
      </c>
      <c r="F18" s="24">
        <f t="shared" si="0"/>
        <v>185755</v>
      </c>
    </row>
    <row r="19" spans="1:6" s="472" customFormat="1" ht="15.75">
      <c r="A19" s="479">
        <v>12</v>
      </c>
      <c r="B19" s="137" t="s">
        <v>713</v>
      </c>
      <c r="C19" s="483" t="s">
        <v>800</v>
      </c>
      <c r="D19" s="24">
        <v>9880</v>
      </c>
      <c r="E19" s="24"/>
      <c r="F19" s="24">
        <f t="shared" si="0"/>
        <v>9880</v>
      </c>
    </row>
    <row r="20" spans="1:6" s="472" customFormat="1" ht="15.75">
      <c r="A20" s="479">
        <v>13</v>
      </c>
      <c r="B20" s="138" t="s">
        <v>715</v>
      </c>
      <c r="C20" s="479" t="s">
        <v>716</v>
      </c>
      <c r="D20" s="24">
        <v>1017</v>
      </c>
      <c r="E20" s="24"/>
      <c r="F20" s="24">
        <f t="shared" si="0"/>
        <v>1017</v>
      </c>
    </row>
    <row r="21" spans="1:6" s="472" customFormat="1" ht="20.25" customHeight="1">
      <c r="A21" s="479">
        <v>14</v>
      </c>
      <c r="B21" s="138" t="s">
        <v>1039</v>
      </c>
      <c r="C21" s="479" t="s">
        <v>718</v>
      </c>
      <c r="D21" s="24">
        <v>143666</v>
      </c>
      <c r="E21" s="24"/>
      <c r="F21" s="24">
        <f t="shared" si="0"/>
        <v>143666</v>
      </c>
    </row>
    <row r="22" spans="1:6" s="475" customFormat="1" ht="15.75">
      <c r="A22" s="479">
        <v>15</v>
      </c>
      <c r="B22" s="136" t="s">
        <v>720</v>
      </c>
      <c r="C22" s="509" t="s">
        <v>795</v>
      </c>
      <c r="D22" s="24">
        <v>11056</v>
      </c>
      <c r="E22" s="24"/>
      <c r="F22" s="24">
        <f t="shared" si="0"/>
        <v>11056</v>
      </c>
    </row>
    <row r="23" spans="1:6" s="472" customFormat="1" ht="15.75">
      <c r="A23" s="479">
        <v>16</v>
      </c>
      <c r="B23" s="359" t="s">
        <v>721</v>
      </c>
      <c r="C23" s="484" t="s">
        <v>722</v>
      </c>
      <c r="D23" s="24">
        <v>72634</v>
      </c>
      <c r="E23" s="24"/>
      <c r="F23" s="24">
        <f t="shared" si="0"/>
        <v>72634</v>
      </c>
    </row>
    <row r="24" spans="1:6" s="472" customFormat="1" ht="15.75">
      <c r="A24" s="479">
        <v>17</v>
      </c>
      <c r="B24" s="136" t="s">
        <v>723</v>
      </c>
      <c r="C24" s="484" t="s">
        <v>724</v>
      </c>
      <c r="D24" s="24">
        <v>66000</v>
      </c>
      <c r="E24" s="24"/>
      <c r="F24" s="24">
        <f t="shared" si="0"/>
        <v>66000</v>
      </c>
    </row>
    <row r="25" spans="1:6" s="472" customFormat="1" ht="15.75">
      <c r="A25" s="479">
        <v>18</v>
      </c>
      <c r="B25" s="136" t="s">
        <v>725</v>
      </c>
      <c r="C25" s="484" t="s">
        <v>726</v>
      </c>
      <c r="D25" s="24">
        <v>2101</v>
      </c>
      <c r="E25" s="24"/>
      <c r="F25" s="24">
        <f t="shared" si="0"/>
        <v>2101</v>
      </c>
    </row>
    <row r="26" spans="1:6" s="472" customFormat="1" ht="30">
      <c r="A26" s="479">
        <v>19</v>
      </c>
      <c r="B26" s="485" t="s">
        <v>727</v>
      </c>
      <c r="C26" s="483" t="s">
        <v>728</v>
      </c>
      <c r="D26" s="24">
        <v>236309</v>
      </c>
      <c r="E26" s="24"/>
      <c r="F26" s="24">
        <f t="shared" si="0"/>
        <v>236309</v>
      </c>
    </row>
    <row r="27" spans="1:6" s="472" customFormat="1" ht="15.75">
      <c r="A27" s="479">
        <v>20</v>
      </c>
      <c r="B27" s="486" t="s">
        <v>729</v>
      </c>
      <c r="C27" s="483" t="s">
        <v>730</v>
      </c>
      <c r="D27" s="24">
        <v>31115</v>
      </c>
      <c r="E27" s="24"/>
      <c r="F27" s="24">
        <f t="shared" si="0"/>
        <v>31115</v>
      </c>
    </row>
    <row r="28" spans="1:6" s="472" customFormat="1" ht="15.75">
      <c r="A28" s="479">
        <v>21</v>
      </c>
      <c r="B28" s="486" t="s">
        <v>731</v>
      </c>
      <c r="C28" s="484" t="s">
        <v>777</v>
      </c>
      <c r="D28" s="24">
        <v>650</v>
      </c>
      <c r="E28" s="24"/>
      <c r="F28" s="24">
        <f t="shared" si="0"/>
        <v>650</v>
      </c>
    </row>
    <row r="29" spans="1:6" s="472" customFormat="1">
      <c r="A29" s="479">
        <v>22</v>
      </c>
      <c r="B29" s="301" t="s">
        <v>732</v>
      </c>
      <c r="C29" s="484" t="s">
        <v>733</v>
      </c>
      <c r="D29" s="24">
        <v>750</v>
      </c>
      <c r="E29" s="24"/>
      <c r="F29" s="24">
        <f t="shared" si="0"/>
        <v>750</v>
      </c>
    </row>
    <row r="30" spans="1:6" ht="15.75">
      <c r="A30" s="477"/>
      <c r="B30" s="487" t="s">
        <v>734</v>
      </c>
      <c r="C30" s="488"/>
      <c r="D30" s="489">
        <f t="shared" ref="D30:F30" si="1">SUM(D8:D29)</f>
        <v>2859429</v>
      </c>
      <c r="E30" s="489">
        <f t="shared" si="1"/>
        <v>60148</v>
      </c>
      <c r="F30" s="489">
        <f t="shared" si="1"/>
        <v>2919577</v>
      </c>
    </row>
    <row r="31" spans="1:6" ht="15" customHeight="1">
      <c r="A31" s="754" t="s">
        <v>735</v>
      </c>
      <c r="B31" s="755"/>
      <c r="C31" s="755"/>
      <c r="D31" s="755"/>
      <c r="E31" s="755"/>
      <c r="F31" s="756"/>
    </row>
    <row r="32" spans="1:6" ht="15.75">
      <c r="A32" s="479" t="s">
        <v>285</v>
      </c>
      <c r="B32" s="360" t="s">
        <v>736</v>
      </c>
      <c r="C32" s="490" t="s">
        <v>737</v>
      </c>
      <c r="D32" s="491">
        <v>2731</v>
      </c>
      <c r="E32" s="491"/>
      <c r="F32" s="491">
        <f>SUM(D32:E32)</f>
        <v>2731</v>
      </c>
    </row>
    <row r="33" spans="1:6" ht="15.75">
      <c r="A33" s="479" t="s">
        <v>361</v>
      </c>
      <c r="B33" s="360" t="s">
        <v>738</v>
      </c>
      <c r="C33" s="490" t="s">
        <v>739</v>
      </c>
      <c r="D33" s="491">
        <v>3733</v>
      </c>
      <c r="E33" s="491"/>
      <c r="F33" s="491">
        <f t="shared" ref="F33:F47" si="2">SUM(D33:E33)</f>
        <v>3733</v>
      </c>
    </row>
    <row r="34" spans="1:6" ht="15.75">
      <c r="A34" s="479" t="s">
        <v>363</v>
      </c>
      <c r="B34" s="360" t="s">
        <v>740</v>
      </c>
      <c r="C34" s="490" t="s">
        <v>741</v>
      </c>
      <c r="D34" s="491">
        <v>100</v>
      </c>
      <c r="E34" s="491"/>
      <c r="F34" s="491">
        <f t="shared" si="2"/>
        <v>100</v>
      </c>
    </row>
    <row r="35" spans="1:6" ht="45">
      <c r="A35" s="479" t="s">
        <v>362</v>
      </c>
      <c r="B35" s="492" t="s">
        <v>742</v>
      </c>
      <c r="C35" s="490" t="s">
        <v>743</v>
      </c>
      <c r="D35" s="491">
        <v>5000</v>
      </c>
      <c r="E35" s="491"/>
      <c r="F35" s="491">
        <f t="shared" si="2"/>
        <v>5000</v>
      </c>
    </row>
    <row r="36" spans="1:6" ht="15.75">
      <c r="A36" s="479" t="s">
        <v>364</v>
      </c>
      <c r="B36" s="359" t="s">
        <v>745</v>
      </c>
      <c r="C36" s="490" t="s">
        <v>744</v>
      </c>
      <c r="D36" s="491">
        <v>10000</v>
      </c>
      <c r="E36" s="491"/>
      <c r="F36" s="491">
        <f t="shared" si="2"/>
        <v>10000</v>
      </c>
    </row>
    <row r="37" spans="1:6" ht="15.75">
      <c r="A37" s="479" t="s">
        <v>365</v>
      </c>
      <c r="B37" s="360" t="s">
        <v>746</v>
      </c>
      <c r="C37" s="482" t="s">
        <v>747</v>
      </c>
      <c r="D37" s="491">
        <v>9000</v>
      </c>
      <c r="E37" s="491"/>
      <c r="F37" s="491">
        <f t="shared" si="2"/>
        <v>9000</v>
      </c>
    </row>
    <row r="38" spans="1:6" ht="15.75">
      <c r="A38" s="479" t="s">
        <v>366</v>
      </c>
      <c r="B38" s="493" t="s">
        <v>749</v>
      </c>
      <c r="C38" s="490" t="s">
        <v>750</v>
      </c>
      <c r="D38" s="491">
        <v>800</v>
      </c>
      <c r="E38" s="491"/>
      <c r="F38" s="491">
        <f t="shared" si="2"/>
        <v>800</v>
      </c>
    </row>
    <row r="39" spans="1:6" ht="15.75">
      <c r="A39" s="479" t="s">
        <v>367</v>
      </c>
      <c r="B39" s="132" t="s">
        <v>751</v>
      </c>
      <c r="C39" s="490" t="s">
        <v>750</v>
      </c>
      <c r="D39" s="491">
        <v>120</v>
      </c>
      <c r="E39" s="491"/>
      <c r="F39" s="491">
        <f t="shared" si="2"/>
        <v>120</v>
      </c>
    </row>
    <row r="40" spans="1:6" ht="15.75">
      <c r="A40" s="479" t="s">
        <v>368</v>
      </c>
      <c r="B40" s="494" t="s">
        <v>752</v>
      </c>
      <c r="C40" s="490" t="s">
        <v>750</v>
      </c>
      <c r="D40" s="491">
        <v>3524</v>
      </c>
      <c r="E40" s="491"/>
      <c r="F40" s="491">
        <f t="shared" si="2"/>
        <v>3524</v>
      </c>
    </row>
    <row r="41" spans="1:6" ht="15.75">
      <c r="A41" s="479" t="s">
        <v>369</v>
      </c>
      <c r="B41" s="360" t="s">
        <v>753</v>
      </c>
      <c r="C41" s="490" t="s">
        <v>748</v>
      </c>
      <c r="D41" s="491">
        <v>1190</v>
      </c>
      <c r="E41" s="491"/>
      <c r="F41" s="491">
        <f t="shared" si="2"/>
        <v>1190</v>
      </c>
    </row>
    <row r="42" spans="1:6" ht="30">
      <c r="A42" s="479" t="s">
        <v>370</v>
      </c>
      <c r="B42" s="508" t="s">
        <v>781</v>
      </c>
      <c r="C42" s="490" t="s">
        <v>783</v>
      </c>
      <c r="D42" s="491">
        <v>1016</v>
      </c>
      <c r="E42" s="491"/>
      <c r="F42" s="491">
        <f t="shared" si="2"/>
        <v>1016</v>
      </c>
    </row>
    <row r="43" spans="1:6" ht="30">
      <c r="A43" s="479" t="s">
        <v>709</v>
      </c>
      <c r="B43" s="508" t="s">
        <v>782</v>
      </c>
      <c r="C43" s="490" t="s">
        <v>783</v>
      </c>
      <c r="D43" s="491">
        <v>500</v>
      </c>
      <c r="E43" s="491"/>
      <c r="F43" s="491">
        <f t="shared" si="2"/>
        <v>500</v>
      </c>
    </row>
    <row r="44" spans="1:6">
      <c r="A44" s="479" t="s">
        <v>712</v>
      </c>
      <c r="B44" s="508" t="s">
        <v>785</v>
      </c>
      <c r="C44" s="490"/>
      <c r="D44" s="491">
        <v>5000</v>
      </c>
      <c r="E44" s="491"/>
      <c r="F44" s="491">
        <f t="shared" si="2"/>
        <v>5000</v>
      </c>
    </row>
    <row r="45" spans="1:6">
      <c r="A45" s="479" t="s">
        <v>714</v>
      </c>
      <c r="B45" s="508" t="s">
        <v>786</v>
      </c>
      <c r="C45" s="490"/>
      <c r="D45" s="491">
        <v>2000</v>
      </c>
      <c r="E45" s="491"/>
      <c r="F45" s="491">
        <f t="shared" si="2"/>
        <v>2000</v>
      </c>
    </row>
    <row r="46" spans="1:6">
      <c r="A46" s="479" t="s">
        <v>717</v>
      </c>
      <c r="B46" s="508" t="s">
        <v>787</v>
      </c>
      <c r="C46" s="490"/>
      <c r="D46" s="491">
        <v>800</v>
      </c>
      <c r="E46" s="491"/>
      <c r="F46" s="491">
        <f t="shared" si="2"/>
        <v>800</v>
      </c>
    </row>
    <row r="47" spans="1:6">
      <c r="A47" s="479" t="s">
        <v>719</v>
      </c>
      <c r="B47" s="508" t="s">
        <v>788</v>
      </c>
      <c r="C47" s="490"/>
      <c r="D47" s="491">
        <v>730</v>
      </c>
      <c r="E47" s="491"/>
      <c r="F47" s="491">
        <f t="shared" si="2"/>
        <v>730</v>
      </c>
    </row>
    <row r="48" spans="1:6" ht="15.75">
      <c r="A48" s="479"/>
      <c r="B48" s="489" t="s">
        <v>754</v>
      </c>
      <c r="C48" s="477"/>
      <c r="D48" s="481">
        <f t="shared" ref="D48:F48" si="3">SUM(D32:D47)</f>
        <v>46244</v>
      </c>
      <c r="E48" s="481">
        <f t="shared" si="3"/>
        <v>0</v>
      </c>
      <c r="F48" s="481">
        <f t="shared" si="3"/>
        <v>46244</v>
      </c>
    </row>
    <row r="49" spans="1:6" s="495" customFormat="1" ht="15.75">
      <c r="A49" s="757" t="s">
        <v>755</v>
      </c>
      <c r="B49" s="757"/>
      <c r="C49" s="757"/>
      <c r="D49" s="489">
        <f t="shared" ref="D49:F49" si="4">D30+D48</f>
        <v>2905673</v>
      </c>
      <c r="E49" s="489">
        <f t="shared" si="4"/>
        <v>60148</v>
      </c>
      <c r="F49" s="489">
        <f t="shared" si="4"/>
        <v>2965821</v>
      </c>
    </row>
  </sheetData>
  <mergeCells count="7">
    <mergeCell ref="E1:F1"/>
    <mergeCell ref="A7:F7"/>
    <mergeCell ref="A31:F31"/>
    <mergeCell ref="A49:C49"/>
    <mergeCell ref="A2:F2"/>
    <mergeCell ref="A3:F3"/>
    <mergeCell ref="A4:F4"/>
  </mergeCells>
  <printOptions horizontalCentered="1" verticalCentered="1"/>
  <pageMargins left="0.31496062992125984" right="0.11811023622047245" top="0.35433070866141736" bottom="0.15748031496062992" header="0.31496062992125984" footer="0.19685039370078741"/>
  <pageSetup paperSize="9" orientation="landscape" r:id="rId1"/>
  <rowBreaks count="1" manualBreakCount="1">
    <brk id="27" max="5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5"/>
  <sheetViews>
    <sheetView view="pageBreakPreview" zoomScaleNormal="100" zoomScaleSheetLayoutView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D23" sqref="D23"/>
    </sheetView>
  </sheetViews>
  <sheetFormatPr defaultRowHeight="15.75"/>
  <cols>
    <col min="1" max="1" width="4.85546875" style="496" customWidth="1"/>
    <col min="2" max="2" width="71.7109375" style="496" customWidth="1"/>
    <col min="3" max="3" width="27.140625" style="496" customWidth="1"/>
    <col min="4" max="6" width="15" style="496" customWidth="1"/>
    <col min="7" max="16384" width="9.140625" style="496"/>
  </cols>
  <sheetData>
    <row r="1" spans="1:6">
      <c r="E1" s="762" t="s">
        <v>815</v>
      </c>
      <c r="F1" s="762"/>
    </row>
    <row r="2" spans="1:6">
      <c r="A2" s="764" t="s">
        <v>682</v>
      </c>
      <c r="B2" s="764"/>
      <c r="C2" s="764"/>
      <c r="D2" s="764"/>
      <c r="E2" s="764"/>
      <c r="F2" s="764"/>
    </row>
    <row r="3" spans="1:6">
      <c r="A3" s="765" t="s">
        <v>756</v>
      </c>
      <c r="B3" s="765"/>
      <c r="C3" s="765"/>
      <c r="D3" s="765"/>
      <c r="E3" s="765"/>
      <c r="F3" s="765"/>
    </row>
    <row r="4" spans="1:6">
      <c r="A4" s="766" t="s">
        <v>757</v>
      </c>
      <c r="B4" s="766"/>
      <c r="C4" s="766"/>
      <c r="D4" s="766"/>
      <c r="E4" s="766"/>
      <c r="F4" s="766"/>
    </row>
    <row r="5" spans="1:6">
      <c r="A5" s="497"/>
      <c r="B5" s="495"/>
      <c r="C5" s="498"/>
      <c r="E5" s="519"/>
      <c r="F5" s="519" t="s">
        <v>119</v>
      </c>
    </row>
    <row r="6" spans="1:6" ht="31.5">
      <c r="A6" s="499" t="s">
        <v>685</v>
      </c>
      <c r="B6" s="499" t="s">
        <v>686</v>
      </c>
      <c r="C6" s="499" t="s">
        <v>758</v>
      </c>
      <c r="D6" s="500" t="s">
        <v>688</v>
      </c>
      <c r="E6" s="500" t="s">
        <v>803</v>
      </c>
      <c r="F6" s="500" t="s">
        <v>1045</v>
      </c>
    </row>
    <row r="7" spans="1:6" ht="15.75" customHeight="1">
      <c r="A7" s="763" t="s">
        <v>759</v>
      </c>
      <c r="B7" s="763"/>
      <c r="C7" s="763"/>
      <c r="D7" s="763"/>
      <c r="E7" s="622"/>
      <c r="F7" s="622"/>
    </row>
    <row r="8" spans="1:6" ht="25.5">
      <c r="A8" s="488" t="s">
        <v>285</v>
      </c>
      <c r="B8" s="132" t="s">
        <v>760</v>
      </c>
      <c r="C8" s="478" t="s">
        <v>761</v>
      </c>
      <c r="D8" s="480">
        <v>8078</v>
      </c>
      <c r="E8" s="480"/>
      <c r="F8" s="480">
        <f>SUM(D8:E8)</f>
        <v>8078</v>
      </c>
    </row>
    <row r="9" spans="1:6">
      <c r="A9" s="488" t="s">
        <v>361</v>
      </c>
      <c r="B9" s="502" t="s">
        <v>762</v>
      </c>
      <c r="C9" s="488" t="s">
        <v>763</v>
      </c>
      <c r="D9" s="480">
        <v>6348</v>
      </c>
      <c r="E9" s="480"/>
      <c r="F9" s="480">
        <f t="shared" ref="F9:F12" si="0">SUM(D9:E9)</f>
        <v>6348</v>
      </c>
    </row>
    <row r="10" spans="1:6">
      <c r="A10" s="488" t="s">
        <v>363</v>
      </c>
      <c r="B10" s="360" t="s">
        <v>778</v>
      </c>
      <c r="C10" s="488" t="s">
        <v>763</v>
      </c>
      <c r="D10" s="480">
        <v>340</v>
      </c>
      <c r="E10" s="480"/>
      <c r="F10" s="480">
        <f t="shared" si="0"/>
        <v>340</v>
      </c>
    </row>
    <row r="11" spans="1:6">
      <c r="A11" s="488" t="s">
        <v>362</v>
      </c>
      <c r="B11" s="138" t="s">
        <v>764</v>
      </c>
      <c r="C11" s="479" t="s">
        <v>718</v>
      </c>
      <c r="D11" s="480">
        <v>421422</v>
      </c>
      <c r="E11" s="480"/>
      <c r="F11" s="480">
        <f t="shared" si="0"/>
        <v>421422</v>
      </c>
    </row>
    <row r="12" spans="1:6">
      <c r="A12" s="488" t="s">
        <v>364</v>
      </c>
      <c r="B12" s="504" t="s">
        <v>765</v>
      </c>
      <c r="C12" s="488"/>
      <c r="D12" s="480">
        <v>6500</v>
      </c>
      <c r="E12" s="480"/>
      <c r="F12" s="480">
        <f t="shared" si="0"/>
        <v>6500</v>
      </c>
    </row>
    <row r="13" spans="1:6">
      <c r="A13" s="757" t="s">
        <v>766</v>
      </c>
      <c r="B13" s="757"/>
      <c r="C13" s="503"/>
      <c r="D13" s="489">
        <f t="shared" ref="D13:F13" si="1">SUM(D8:D12)</f>
        <v>442688</v>
      </c>
      <c r="E13" s="489">
        <f t="shared" si="1"/>
        <v>0</v>
      </c>
      <c r="F13" s="489">
        <f t="shared" si="1"/>
        <v>442688</v>
      </c>
    </row>
    <row r="14" spans="1:6" ht="15.75" customHeight="1">
      <c r="A14" s="761" t="s">
        <v>767</v>
      </c>
      <c r="B14" s="761"/>
      <c r="C14" s="761"/>
      <c r="D14" s="761"/>
      <c r="E14" s="621"/>
      <c r="F14" s="621"/>
    </row>
    <row r="15" spans="1:6">
      <c r="A15" s="488" t="s">
        <v>285</v>
      </c>
      <c r="B15" s="360" t="s">
        <v>762</v>
      </c>
      <c r="C15" s="488" t="s">
        <v>763</v>
      </c>
      <c r="D15" s="480">
        <v>3650</v>
      </c>
      <c r="E15" s="480"/>
      <c r="F15" s="480">
        <f>SUM(D15:E15)</f>
        <v>3650</v>
      </c>
    </row>
    <row r="16" spans="1:6">
      <c r="A16" s="488" t="s">
        <v>361</v>
      </c>
      <c r="B16" s="504" t="s">
        <v>768</v>
      </c>
      <c r="C16" s="488" t="s">
        <v>763</v>
      </c>
      <c r="D16" s="480">
        <v>2460</v>
      </c>
      <c r="E16" s="480"/>
      <c r="F16" s="480">
        <f t="shared" ref="F16:F23" si="2">SUM(D16:E16)</f>
        <v>2460</v>
      </c>
    </row>
    <row r="17" spans="1:6">
      <c r="A17" s="488" t="s">
        <v>363</v>
      </c>
      <c r="B17" s="504" t="s">
        <v>769</v>
      </c>
      <c r="C17" s="488" t="s">
        <v>763</v>
      </c>
      <c r="D17" s="480">
        <v>2460</v>
      </c>
      <c r="E17" s="480"/>
      <c r="F17" s="480">
        <f t="shared" si="2"/>
        <v>2460</v>
      </c>
    </row>
    <row r="18" spans="1:6">
      <c r="A18" s="488" t="s">
        <v>362</v>
      </c>
      <c r="B18" s="504" t="s">
        <v>770</v>
      </c>
      <c r="C18" s="488" t="s">
        <v>763</v>
      </c>
      <c r="D18" s="480">
        <v>4000</v>
      </c>
      <c r="E18" s="480"/>
      <c r="F18" s="480">
        <f t="shared" si="2"/>
        <v>4000</v>
      </c>
    </row>
    <row r="19" spans="1:6">
      <c r="A19" s="488" t="s">
        <v>364</v>
      </c>
      <c r="B19" s="360" t="s">
        <v>771</v>
      </c>
      <c r="C19" s="488" t="s">
        <v>763</v>
      </c>
      <c r="D19" s="480">
        <v>900</v>
      </c>
      <c r="E19" s="480"/>
      <c r="F19" s="480">
        <f t="shared" si="2"/>
        <v>900</v>
      </c>
    </row>
    <row r="20" spans="1:6" ht="31.5">
      <c r="A20" s="488" t="s">
        <v>365</v>
      </c>
      <c r="B20" s="138" t="s">
        <v>772</v>
      </c>
      <c r="C20" s="488" t="s">
        <v>773</v>
      </c>
      <c r="D20" s="480">
        <v>134938</v>
      </c>
      <c r="E20" s="480"/>
      <c r="F20" s="480">
        <f t="shared" si="2"/>
        <v>134938</v>
      </c>
    </row>
    <row r="21" spans="1:6">
      <c r="A21" s="488" t="s">
        <v>366</v>
      </c>
      <c r="B21" s="138" t="s">
        <v>774</v>
      </c>
      <c r="C21" s="488" t="s">
        <v>773</v>
      </c>
      <c r="D21" s="480">
        <v>13466</v>
      </c>
      <c r="E21" s="480"/>
      <c r="F21" s="480">
        <f t="shared" si="2"/>
        <v>13466</v>
      </c>
    </row>
    <row r="22" spans="1:6" ht="31.5">
      <c r="A22" s="488" t="s">
        <v>367</v>
      </c>
      <c r="B22" s="359" t="s">
        <v>779</v>
      </c>
      <c r="C22" s="490" t="s">
        <v>744</v>
      </c>
      <c r="D22" s="480">
        <v>1200</v>
      </c>
      <c r="E22" s="480"/>
      <c r="F22" s="480">
        <f t="shared" si="2"/>
        <v>1200</v>
      </c>
    </row>
    <row r="23" spans="1:6">
      <c r="A23" s="488" t="s">
        <v>368</v>
      </c>
      <c r="B23" s="359" t="s">
        <v>784</v>
      </c>
      <c r="C23" s="490" t="s">
        <v>747</v>
      </c>
      <c r="D23" s="480">
        <v>8931</v>
      </c>
      <c r="E23" s="480"/>
      <c r="F23" s="480">
        <f t="shared" si="2"/>
        <v>8931</v>
      </c>
    </row>
    <row r="24" spans="1:6">
      <c r="A24" s="757" t="s">
        <v>775</v>
      </c>
      <c r="B24" s="757"/>
      <c r="C24" s="503"/>
      <c r="D24" s="489">
        <f t="shared" ref="D24:F24" si="3">SUM(D15:D23)</f>
        <v>172005</v>
      </c>
      <c r="E24" s="489">
        <f t="shared" si="3"/>
        <v>0</v>
      </c>
      <c r="F24" s="489">
        <f t="shared" si="3"/>
        <v>172005</v>
      </c>
    </row>
    <row r="25" spans="1:6">
      <c r="A25" s="757" t="s">
        <v>776</v>
      </c>
      <c r="B25" s="757"/>
      <c r="C25" s="503"/>
      <c r="D25" s="489">
        <f t="shared" ref="D25:F25" si="4">D13+D24</f>
        <v>614693</v>
      </c>
      <c r="E25" s="489">
        <f t="shared" si="4"/>
        <v>0</v>
      </c>
      <c r="F25" s="489">
        <f t="shared" si="4"/>
        <v>614693</v>
      </c>
    </row>
  </sheetData>
  <mergeCells count="9">
    <mergeCell ref="A24:B24"/>
    <mergeCell ref="A25:B25"/>
    <mergeCell ref="A13:B13"/>
    <mergeCell ref="A14:D14"/>
    <mergeCell ref="E1:F1"/>
    <mergeCell ref="A7:D7"/>
    <mergeCell ref="A2:F2"/>
    <mergeCell ref="A3:F3"/>
    <mergeCell ref="A4:F4"/>
  </mergeCells>
  <printOptions horizontalCentered="1" verticalCentered="1"/>
  <pageMargins left="0.31496062992125984" right="0.31496062992125984" top="0.15748031496062992" bottom="0.15748031496062992" header="0.11811023622047245" footer="0.31496062992125984"/>
  <pageSetup paperSize="9" scale="94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36"/>
  <sheetViews>
    <sheetView view="pageBreakPreview" zoomScaleNormal="100" zoomScaleSheetLayoutView="100" workbookViewId="0">
      <selection activeCell="F38" sqref="F38"/>
    </sheetView>
  </sheetViews>
  <sheetFormatPr defaultRowHeight="12"/>
  <cols>
    <col min="1" max="1" width="60.5703125" customWidth="1"/>
    <col min="2" max="4" width="13.5703125" customWidth="1"/>
    <col min="5" max="7" width="14.28515625" customWidth="1"/>
    <col min="8" max="9" width="11.7109375" customWidth="1"/>
  </cols>
  <sheetData>
    <row r="1" spans="1:7" ht="15.75">
      <c r="F1" s="625"/>
      <c r="G1" s="437" t="s">
        <v>604</v>
      </c>
    </row>
    <row r="3" spans="1:7" s="365" customFormat="1" ht="16.5">
      <c r="A3" s="772" t="s">
        <v>649</v>
      </c>
      <c r="B3" s="772"/>
      <c r="C3" s="772"/>
      <c r="D3" s="772"/>
      <c r="E3" s="772"/>
      <c r="F3" s="772"/>
      <c r="G3" s="772"/>
    </row>
    <row r="4" spans="1:7" ht="15">
      <c r="A4" s="249"/>
      <c r="B4" s="250"/>
      <c r="C4" s="250"/>
      <c r="D4" s="250"/>
      <c r="F4" s="251"/>
      <c r="G4" s="251" t="s">
        <v>119</v>
      </c>
    </row>
    <row r="5" spans="1:7" s="365" customFormat="1" ht="14.25" customHeight="1">
      <c r="A5" s="767" t="s">
        <v>170</v>
      </c>
      <c r="B5" s="443" t="s">
        <v>455</v>
      </c>
      <c r="C5" s="443" t="s">
        <v>803</v>
      </c>
      <c r="D5" s="443" t="s">
        <v>1045</v>
      </c>
      <c r="E5" s="443" t="s">
        <v>456</v>
      </c>
      <c r="F5" s="443" t="s">
        <v>803</v>
      </c>
      <c r="G5" s="443" t="s">
        <v>1045</v>
      </c>
    </row>
    <row r="6" spans="1:7" s="365" customFormat="1" ht="14.25">
      <c r="A6" s="768"/>
      <c r="B6" s="769" t="s">
        <v>1011</v>
      </c>
      <c r="C6" s="770"/>
      <c r="D6" s="770"/>
      <c r="E6" s="771"/>
      <c r="F6" s="629"/>
      <c r="G6" s="629"/>
    </row>
    <row r="7" spans="1:7" ht="15.75">
      <c r="A7" s="252" t="s">
        <v>316</v>
      </c>
      <c r="B7" s="105"/>
      <c r="C7" s="105"/>
      <c r="D7" s="105"/>
      <c r="E7" s="105"/>
      <c r="F7" s="105"/>
      <c r="G7" s="105"/>
    </row>
    <row r="8" spans="1:7" ht="15.75">
      <c r="A8" s="253" t="s">
        <v>457</v>
      </c>
      <c r="B8" s="105">
        <v>614</v>
      </c>
      <c r="C8" s="105"/>
      <c r="D8" s="105">
        <f>SUM(B8:C8)</f>
        <v>614</v>
      </c>
      <c r="E8" s="105"/>
      <c r="F8" s="105"/>
      <c r="G8" s="105"/>
    </row>
    <row r="9" spans="1:7" ht="15.75">
      <c r="A9" s="254" t="s">
        <v>122</v>
      </c>
      <c r="B9" s="259">
        <f>SUM(B8:B8)</f>
        <v>614</v>
      </c>
      <c r="C9" s="259">
        <f t="shared" ref="C9:D9" si="0">SUM(C8:C8)</f>
        <v>0</v>
      </c>
      <c r="D9" s="259">
        <f t="shared" si="0"/>
        <v>614</v>
      </c>
      <c r="E9" s="255">
        <f>SUM(E8:E8)</f>
        <v>0</v>
      </c>
      <c r="F9" s="255"/>
      <c r="G9" s="255"/>
    </row>
    <row r="10" spans="1:7" ht="15.75">
      <c r="A10" s="256" t="s">
        <v>353</v>
      </c>
      <c r="B10" s="105"/>
      <c r="C10" s="105"/>
      <c r="D10" s="105"/>
      <c r="E10" s="105"/>
      <c r="F10" s="105"/>
      <c r="G10" s="105"/>
    </row>
    <row r="11" spans="1:7" ht="15.75" hidden="1">
      <c r="A11" s="392" t="s">
        <v>570</v>
      </c>
      <c r="B11" s="105"/>
      <c r="C11" s="105"/>
      <c r="D11" s="105"/>
      <c r="E11" s="105"/>
      <c r="F11" s="105"/>
      <c r="G11" s="105"/>
    </row>
    <row r="12" spans="1:7" ht="15.75">
      <c r="A12" s="392" t="s">
        <v>457</v>
      </c>
      <c r="B12" s="105">
        <v>381</v>
      </c>
      <c r="C12" s="105"/>
      <c r="D12" s="105">
        <f>SUM(B12:C12)</f>
        <v>381</v>
      </c>
      <c r="E12" s="105"/>
      <c r="F12" s="105"/>
      <c r="G12" s="105"/>
    </row>
    <row r="13" spans="1:7" ht="15.75" hidden="1">
      <c r="A13" s="257" t="s">
        <v>458</v>
      </c>
      <c r="B13" s="105"/>
      <c r="C13" s="105"/>
      <c r="D13" s="105"/>
      <c r="E13" s="105"/>
      <c r="F13" s="105"/>
      <c r="G13" s="105"/>
    </row>
    <row r="14" spans="1:7" ht="15.75">
      <c r="A14" s="254" t="s">
        <v>122</v>
      </c>
      <c r="B14" s="259">
        <f>SUM(B11:B13)</f>
        <v>381</v>
      </c>
      <c r="C14" s="259">
        <f t="shared" ref="C14:D14" si="1">SUM(C11:C13)</f>
        <v>0</v>
      </c>
      <c r="D14" s="259">
        <f t="shared" si="1"/>
        <v>381</v>
      </c>
      <c r="E14" s="259">
        <f>SUM(E11:E13)</f>
        <v>0</v>
      </c>
      <c r="F14" s="259"/>
      <c r="G14" s="259"/>
    </row>
    <row r="15" spans="1:7" ht="15.75">
      <c r="A15" s="260" t="s">
        <v>313</v>
      </c>
      <c r="B15" s="105"/>
      <c r="C15" s="105"/>
      <c r="D15" s="105"/>
      <c r="E15" s="105"/>
      <c r="F15" s="105"/>
      <c r="G15" s="105"/>
    </row>
    <row r="16" spans="1:7" ht="15.75" hidden="1">
      <c r="A16" s="261" t="s">
        <v>569</v>
      </c>
      <c r="B16" s="105"/>
      <c r="C16" s="105"/>
      <c r="D16" s="105"/>
      <c r="E16" s="105"/>
      <c r="F16" s="105"/>
      <c r="G16" s="105"/>
    </row>
    <row r="17" spans="1:7" ht="15.75">
      <c r="A17" s="261" t="s">
        <v>465</v>
      </c>
      <c r="B17" s="105">
        <v>2520</v>
      </c>
      <c r="C17" s="105"/>
      <c r="D17" s="105">
        <f>SUM(B17:C17)</f>
        <v>2520</v>
      </c>
      <c r="E17" s="105"/>
      <c r="F17" s="105"/>
      <c r="G17" s="105"/>
    </row>
    <row r="18" spans="1:7" s="262" customFormat="1" ht="15.75">
      <c r="A18" s="254" t="s">
        <v>122</v>
      </c>
      <c r="B18" s="259">
        <f>SUM(B16:B17)</f>
        <v>2520</v>
      </c>
      <c r="C18" s="259">
        <f t="shared" ref="C18:D18" si="2">SUM(C16:C17)</f>
        <v>0</v>
      </c>
      <c r="D18" s="259">
        <f t="shared" si="2"/>
        <v>2520</v>
      </c>
      <c r="E18" s="259">
        <f>SUM(E16:E17)</f>
        <v>0</v>
      </c>
      <c r="F18" s="259"/>
      <c r="G18" s="259"/>
    </row>
    <row r="19" spans="1:7" ht="15.75">
      <c r="A19" s="260" t="s">
        <v>312</v>
      </c>
      <c r="B19" s="105"/>
      <c r="C19" s="105"/>
      <c r="D19" s="105"/>
      <c r="E19" s="105"/>
      <c r="F19" s="105"/>
      <c r="G19" s="105"/>
    </row>
    <row r="20" spans="1:7" ht="15.75">
      <c r="A20" s="261" t="s">
        <v>457</v>
      </c>
      <c r="B20" s="105">
        <v>128</v>
      </c>
      <c r="C20" s="105"/>
      <c r="D20" s="105">
        <f>SUM(B20:C20)</f>
        <v>128</v>
      </c>
      <c r="E20" s="105"/>
      <c r="F20" s="105"/>
      <c r="G20" s="105"/>
    </row>
    <row r="21" spans="1:7" ht="15.75">
      <c r="A21" s="254" t="s">
        <v>122</v>
      </c>
      <c r="B21" s="259">
        <f>SUM(B20:B20)</f>
        <v>128</v>
      </c>
      <c r="C21" s="259">
        <f t="shared" ref="C21:D21" si="3">SUM(C20:C20)</f>
        <v>0</v>
      </c>
      <c r="D21" s="259">
        <f t="shared" si="3"/>
        <v>128</v>
      </c>
      <c r="E21" s="259">
        <f>SUM(E20:E20)</f>
        <v>0</v>
      </c>
      <c r="F21" s="259"/>
      <c r="G21" s="259"/>
    </row>
    <row r="22" spans="1:7" ht="15.75">
      <c r="A22" s="260" t="s">
        <v>354</v>
      </c>
      <c r="B22" s="105"/>
      <c r="C22" s="105"/>
      <c r="D22" s="105"/>
      <c r="E22" s="105"/>
      <c r="F22" s="105"/>
      <c r="G22" s="105"/>
    </row>
    <row r="23" spans="1:7" ht="15.75" hidden="1">
      <c r="A23" s="261" t="s">
        <v>569</v>
      </c>
      <c r="B23" s="105"/>
      <c r="C23" s="105"/>
      <c r="D23" s="105"/>
      <c r="E23" s="105"/>
      <c r="F23" s="105"/>
      <c r="G23" s="105"/>
    </row>
    <row r="24" spans="1:7" ht="15.75" hidden="1">
      <c r="A24" s="261" t="s">
        <v>654</v>
      </c>
      <c r="B24" s="105"/>
      <c r="C24" s="105"/>
      <c r="D24" s="105"/>
      <c r="E24" s="105"/>
      <c r="F24" s="105"/>
      <c r="G24" s="105"/>
    </row>
    <row r="25" spans="1:7" s="264" customFormat="1" ht="15.75">
      <c r="A25" s="132" t="s">
        <v>465</v>
      </c>
      <c r="B25" s="263">
        <v>4391</v>
      </c>
      <c r="C25" s="263"/>
      <c r="D25" s="263">
        <f>SUM(B25:C25)</f>
        <v>4391</v>
      </c>
      <c r="E25" s="263"/>
      <c r="F25" s="263"/>
      <c r="G25" s="263"/>
    </row>
    <row r="26" spans="1:7" ht="15.75">
      <c r="A26" s="254" t="s">
        <v>122</v>
      </c>
      <c r="B26" s="259">
        <f>SUM(B23:B25)</f>
        <v>4391</v>
      </c>
      <c r="C26" s="259">
        <f t="shared" ref="C26:D26" si="4">SUM(C23:C25)</f>
        <v>0</v>
      </c>
      <c r="D26" s="259">
        <f t="shared" si="4"/>
        <v>4391</v>
      </c>
      <c r="E26" s="259">
        <f>SUM(E23:E25)</f>
        <v>0</v>
      </c>
      <c r="F26" s="259"/>
      <c r="G26" s="259"/>
    </row>
    <row r="27" spans="1:7" ht="15.75">
      <c r="A27" s="260" t="s">
        <v>355</v>
      </c>
      <c r="B27" s="105"/>
      <c r="C27" s="105"/>
      <c r="D27" s="105"/>
      <c r="E27" s="105"/>
      <c r="F27" s="105"/>
      <c r="G27" s="105"/>
    </row>
    <row r="28" spans="1:7" ht="15.75">
      <c r="A28" s="265" t="s">
        <v>650</v>
      </c>
      <c r="B28" s="248">
        <v>100</v>
      </c>
      <c r="C28" s="612"/>
      <c r="D28" s="612">
        <f>SUM(B28:C28)</f>
        <v>100</v>
      </c>
      <c r="E28" s="105"/>
      <c r="F28" s="105"/>
      <c r="G28" s="105"/>
    </row>
    <row r="29" spans="1:7" ht="15.75">
      <c r="A29" s="266" t="s">
        <v>122</v>
      </c>
      <c r="B29" s="259">
        <f>SUM(B28)</f>
        <v>100</v>
      </c>
      <c r="C29" s="259">
        <f t="shared" ref="C29:D29" si="5">SUM(C28)</f>
        <v>0</v>
      </c>
      <c r="D29" s="259">
        <f t="shared" si="5"/>
        <v>100</v>
      </c>
      <c r="E29" s="259">
        <f>SUM(E28)</f>
        <v>0</v>
      </c>
      <c r="F29" s="259"/>
      <c r="G29" s="259"/>
    </row>
    <row r="30" spans="1:7" ht="15.75">
      <c r="A30" s="260" t="s">
        <v>356</v>
      </c>
      <c r="B30" s="105"/>
      <c r="C30" s="105"/>
      <c r="D30" s="105"/>
      <c r="E30" s="105"/>
      <c r="F30" s="105"/>
      <c r="G30" s="105"/>
    </row>
    <row r="31" spans="1:7" ht="15.75">
      <c r="A31" s="261" t="s">
        <v>651</v>
      </c>
      <c r="B31" s="248">
        <v>500</v>
      </c>
      <c r="C31" s="612"/>
      <c r="D31" s="612">
        <f>SUM(B31:C31)</f>
        <v>500</v>
      </c>
      <c r="E31" s="105"/>
      <c r="F31" s="105"/>
      <c r="G31" s="105"/>
    </row>
    <row r="32" spans="1:7" s="272" customFormat="1" ht="15.75">
      <c r="A32" s="266" t="s">
        <v>122</v>
      </c>
      <c r="B32" s="259">
        <f>SUM(B31)</f>
        <v>500</v>
      </c>
      <c r="C32" s="259">
        <f t="shared" ref="C32:D32" si="6">SUM(C31)</f>
        <v>0</v>
      </c>
      <c r="D32" s="259">
        <f t="shared" si="6"/>
        <v>500</v>
      </c>
      <c r="E32" s="259">
        <f>SUM(E31)</f>
        <v>0</v>
      </c>
      <c r="F32" s="259"/>
      <c r="G32" s="259"/>
    </row>
    <row r="33" spans="1:7" s="365" customFormat="1" ht="23.25" customHeight="1">
      <c r="A33" s="366" t="s">
        <v>459</v>
      </c>
      <c r="B33" s="367">
        <f>B9+B14+B18+B21+B26+B29+B32</f>
        <v>8634</v>
      </c>
      <c r="C33" s="367">
        <f t="shared" ref="C33:D33" si="7">C9+C14+C18+C21+C26+C29+C32</f>
        <v>0</v>
      </c>
      <c r="D33" s="367">
        <f t="shared" si="7"/>
        <v>8634</v>
      </c>
      <c r="E33" s="367">
        <f>E9+E14+E18+E21+E26+E29+E32</f>
        <v>0</v>
      </c>
      <c r="F33" s="367">
        <f t="shared" ref="F33:G33" si="8">F9+F14+F18+F21+F26+F29+F32</f>
        <v>0</v>
      </c>
      <c r="G33" s="367">
        <f t="shared" si="8"/>
        <v>0</v>
      </c>
    </row>
    <row r="34" spans="1:7">
      <c r="B34" s="267"/>
      <c r="C34" s="267"/>
      <c r="D34" s="267"/>
      <c r="E34" s="267"/>
      <c r="F34" s="267"/>
      <c r="G34" s="267"/>
    </row>
    <row r="35" spans="1:7">
      <c r="B35" s="267"/>
      <c r="C35" s="267"/>
      <c r="D35" s="267"/>
      <c r="E35" s="267"/>
      <c r="F35" s="267"/>
      <c r="G35" s="267"/>
    </row>
    <row r="36" spans="1:7">
      <c r="B36" s="267"/>
      <c r="C36" s="267"/>
      <c r="D36" s="267"/>
      <c r="E36" s="267"/>
      <c r="F36" s="267"/>
      <c r="G36" s="267"/>
    </row>
  </sheetData>
  <mergeCells count="3">
    <mergeCell ref="A5:A6"/>
    <mergeCell ref="B6:E6"/>
    <mergeCell ref="A3:G3"/>
  </mergeCells>
  <printOptions horizontalCentered="1" verticalCentered="1"/>
  <pageMargins left="0.11811023622047245" right="0.11811023622047245" top="0.15748031496062992" bottom="0.15748031496062992" header="0.11811023622047245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C112"/>
  <sheetViews>
    <sheetView view="pageBreakPreview" zoomScaleNormal="100" zoomScaleSheetLayoutView="100" workbookViewId="0">
      <selection activeCell="W66" sqref="W66"/>
    </sheetView>
  </sheetViews>
  <sheetFormatPr defaultRowHeight="15.75"/>
  <cols>
    <col min="1" max="1" width="4.140625" style="347" customWidth="1"/>
    <col min="2" max="2" width="60.5703125" style="402" customWidth="1"/>
    <col min="3" max="3" width="13.5703125" style="55" hidden="1" customWidth="1"/>
    <col min="4" max="4" width="13.28515625" style="55" hidden="1" customWidth="1"/>
    <col min="5" max="5" width="14.5703125" style="55" hidden="1" customWidth="1"/>
    <col min="6" max="6" width="12.85546875" style="55" hidden="1" customWidth="1"/>
    <col min="7" max="7" width="12" style="55" hidden="1" customWidth="1"/>
    <col min="8" max="8" width="10.85546875" style="55" hidden="1" customWidth="1"/>
    <col min="9" max="21" width="12.42578125" style="55" hidden="1" customWidth="1"/>
    <col min="22" max="24" width="14.7109375" style="55" customWidth="1"/>
    <col min="25" max="16384" width="9.140625" style="55"/>
  </cols>
  <sheetData>
    <row r="1" spans="1:24">
      <c r="A1" s="780"/>
      <c r="B1" s="780"/>
      <c r="D1" s="357"/>
      <c r="P1" s="778"/>
      <c r="Q1" s="778"/>
      <c r="T1" s="778" t="s">
        <v>604</v>
      </c>
      <c r="U1" s="778"/>
      <c r="W1" s="623"/>
      <c r="X1" s="506" t="s">
        <v>814</v>
      </c>
    </row>
    <row r="2" spans="1:24" ht="16.5">
      <c r="A2" s="781" t="s">
        <v>193</v>
      </c>
      <c r="B2" s="781"/>
      <c r="C2" s="781"/>
      <c r="D2" s="781"/>
      <c r="E2" s="781"/>
      <c r="F2" s="781"/>
      <c r="G2" s="781"/>
      <c r="H2" s="781"/>
      <c r="I2" s="781"/>
      <c r="J2" s="781"/>
      <c r="K2" s="781"/>
      <c r="L2" s="781"/>
      <c r="M2" s="781"/>
      <c r="N2" s="781"/>
      <c r="O2" s="781"/>
      <c r="P2" s="781"/>
      <c r="Q2" s="781"/>
      <c r="R2" s="781"/>
      <c r="S2" s="781"/>
      <c r="T2" s="781"/>
      <c r="U2" s="781"/>
      <c r="V2" s="781"/>
      <c r="W2" s="781"/>
      <c r="X2" s="781"/>
    </row>
    <row r="3" spans="1:24">
      <c r="A3" s="777" t="s">
        <v>194</v>
      </c>
      <c r="B3" s="777"/>
      <c r="C3" s="777"/>
      <c r="D3" s="777"/>
      <c r="E3" s="777"/>
      <c r="F3" s="777"/>
      <c r="G3" s="777"/>
      <c r="H3" s="777"/>
      <c r="I3" s="777"/>
      <c r="J3" s="777"/>
      <c r="K3" s="777"/>
      <c r="L3" s="777"/>
      <c r="M3" s="777"/>
      <c r="N3" s="777"/>
      <c r="O3" s="777"/>
      <c r="P3" s="777"/>
      <c r="Q3" s="777"/>
      <c r="R3" s="777"/>
      <c r="S3" s="777"/>
      <c r="T3" s="777"/>
      <c r="U3" s="777"/>
      <c r="V3" s="777"/>
      <c r="W3" s="777"/>
      <c r="X3" s="777"/>
    </row>
    <row r="4" spans="1:24">
      <c r="A4" s="344"/>
      <c r="B4" s="396"/>
      <c r="D4" s="56"/>
      <c r="F4" s="56"/>
      <c r="H4" s="56"/>
      <c r="J4" s="56"/>
      <c r="L4" s="56"/>
      <c r="N4" s="56"/>
      <c r="P4" s="56"/>
      <c r="Q4" s="56" t="s">
        <v>119</v>
      </c>
      <c r="R4" s="56"/>
      <c r="T4" s="56"/>
      <c r="U4" s="56" t="s">
        <v>119</v>
      </c>
      <c r="W4" s="56"/>
      <c r="X4" s="56" t="s">
        <v>119</v>
      </c>
    </row>
    <row r="5" spans="1:24" ht="16.5" customHeight="1">
      <c r="A5" s="779" t="s">
        <v>195</v>
      </c>
      <c r="B5" s="779"/>
      <c r="C5" s="369">
        <v>2019</v>
      </c>
      <c r="D5" s="369" t="s">
        <v>556</v>
      </c>
      <c r="E5" s="369" t="s">
        <v>557</v>
      </c>
      <c r="F5" s="369" t="s">
        <v>556</v>
      </c>
      <c r="G5" s="369" t="s">
        <v>557</v>
      </c>
      <c r="H5" s="369" t="s">
        <v>556</v>
      </c>
      <c r="I5" s="369" t="s">
        <v>557</v>
      </c>
      <c r="J5" s="369" t="s">
        <v>556</v>
      </c>
      <c r="K5" s="412" t="s">
        <v>557</v>
      </c>
      <c r="L5" s="369" t="s">
        <v>556</v>
      </c>
      <c r="M5" s="412" t="s">
        <v>557</v>
      </c>
      <c r="N5" s="369" t="s">
        <v>556</v>
      </c>
      <c r="O5" s="412" t="s">
        <v>557</v>
      </c>
      <c r="P5" s="369" t="s">
        <v>556</v>
      </c>
      <c r="Q5" s="369" t="s">
        <v>557</v>
      </c>
      <c r="R5" s="369" t="s">
        <v>556</v>
      </c>
      <c r="S5" s="412" t="s">
        <v>557</v>
      </c>
      <c r="T5" s="369" t="s">
        <v>556</v>
      </c>
      <c r="U5" s="412" t="s">
        <v>641</v>
      </c>
      <c r="V5" s="630">
        <v>2020</v>
      </c>
      <c r="W5" s="588" t="s">
        <v>556</v>
      </c>
      <c r="X5" s="588" t="s">
        <v>557</v>
      </c>
    </row>
    <row r="6" spans="1:24">
      <c r="A6" s="779" t="s">
        <v>196</v>
      </c>
      <c r="B6" s="779"/>
      <c r="C6" s="57" t="s">
        <v>5</v>
      </c>
      <c r="D6" s="57" t="s">
        <v>6</v>
      </c>
      <c r="E6" s="57" t="s">
        <v>7</v>
      </c>
      <c r="F6" s="57" t="s">
        <v>6</v>
      </c>
      <c r="G6" s="57" t="s">
        <v>7</v>
      </c>
      <c r="H6" s="57" t="s">
        <v>6</v>
      </c>
      <c r="I6" s="57" t="s">
        <v>7</v>
      </c>
      <c r="J6" s="57" t="s">
        <v>6</v>
      </c>
      <c r="K6" s="413" t="s">
        <v>7</v>
      </c>
      <c r="L6" s="57" t="s">
        <v>6</v>
      </c>
      <c r="M6" s="413" t="s">
        <v>7</v>
      </c>
      <c r="N6" s="57" t="s">
        <v>6</v>
      </c>
      <c r="O6" s="413" t="s">
        <v>7</v>
      </c>
      <c r="P6" s="57" t="s">
        <v>6</v>
      </c>
      <c r="Q6" s="57" t="s">
        <v>7</v>
      </c>
      <c r="R6" s="57" t="s">
        <v>6</v>
      </c>
      <c r="S6" s="413" t="s">
        <v>7</v>
      </c>
      <c r="T6" s="57" t="s">
        <v>6</v>
      </c>
      <c r="U6" s="413" t="s">
        <v>7</v>
      </c>
      <c r="V6" s="413" t="s">
        <v>5</v>
      </c>
      <c r="W6" s="57" t="s">
        <v>6</v>
      </c>
      <c r="X6" s="57" t="s">
        <v>7</v>
      </c>
    </row>
    <row r="7" spans="1:24" ht="22.5" customHeight="1">
      <c r="A7" s="773" t="s">
        <v>21</v>
      </c>
      <c r="B7" s="774"/>
      <c r="C7" s="774"/>
      <c r="D7" s="774"/>
      <c r="E7" s="774"/>
      <c r="F7" s="774"/>
      <c r="G7" s="774"/>
      <c r="H7" s="774"/>
      <c r="I7" s="774"/>
      <c r="J7" s="774"/>
      <c r="K7" s="774"/>
      <c r="L7" s="774"/>
      <c r="M7" s="774"/>
      <c r="N7" s="774"/>
      <c r="O7" s="774"/>
      <c r="P7" s="774"/>
      <c r="Q7" s="774"/>
      <c r="R7" s="774"/>
      <c r="S7" s="774"/>
      <c r="T7" s="774"/>
      <c r="U7" s="774"/>
      <c r="V7" s="774"/>
      <c r="W7" s="774"/>
      <c r="X7" s="775"/>
    </row>
    <row r="8" spans="1:24" s="141" customFormat="1" ht="28.5" customHeight="1">
      <c r="A8" s="387">
        <v>1</v>
      </c>
      <c r="B8" s="359" t="s">
        <v>197</v>
      </c>
      <c r="C8" s="382">
        <v>15000</v>
      </c>
      <c r="D8" s="382"/>
      <c r="E8" s="382">
        <f>SUM(C8:D8)</f>
        <v>15000</v>
      </c>
      <c r="F8" s="382">
        <v>-15000</v>
      </c>
      <c r="G8" s="382">
        <f>SUM(E8:F8)</f>
        <v>0</v>
      </c>
      <c r="H8" s="382"/>
      <c r="I8" s="382"/>
      <c r="J8" s="382"/>
      <c r="K8" s="414"/>
      <c r="L8" s="382"/>
      <c r="M8" s="420"/>
      <c r="N8" s="418"/>
      <c r="O8" s="420"/>
      <c r="P8" s="418"/>
      <c r="Q8" s="418"/>
      <c r="R8" s="418"/>
      <c r="S8" s="420"/>
      <c r="T8" s="418"/>
      <c r="U8" s="420"/>
      <c r="V8" s="420">
        <v>10000</v>
      </c>
      <c r="W8" s="418">
        <v>-10000</v>
      </c>
      <c r="X8" s="418">
        <f>SUM(V8:W8)</f>
        <v>0</v>
      </c>
    </row>
    <row r="9" spans="1:24" s="141" customFormat="1">
      <c r="A9" s="387">
        <v>2</v>
      </c>
      <c r="B9" s="359" t="s">
        <v>198</v>
      </c>
      <c r="C9" s="382">
        <v>1000</v>
      </c>
      <c r="D9" s="382"/>
      <c r="E9" s="382">
        <f t="shared" ref="E9:E10" si="0">SUM(C9:D9)</f>
        <v>1000</v>
      </c>
      <c r="F9" s="382"/>
      <c r="G9" s="382">
        <f t="shared" ref="G9:G10" si="1">SUM(E9:F9)</f>
        <v>1000</v>
      </c>
      <c r="H9" s="382">
        <v>-461</v>
      </c>
      <c r="I9" s="382">
        <f t="shared" ref="I9:I10" si="2">SUM(G9:H9)</f>
        <v>539</v>
      </c>
      <c r="J9" s="382"/>
      <c r="K9" s="414">
        <f t="shared" ref="K9:K10" si="3">SUM(I9:J9)</f>
        <v>539</v>
      </c>
      <c r="L9" s="382"/>
      <c r="M9" s="420">
        <f t="shared" ref="M9:M10" si="4">SUM(K9:L9)</f>
        <v>539</v>
      </c>
      <c r="N9" s="418">
        <v>-283</v>
      </c>
      <c r="O9" s="420">
        <f t="shared" ref="O9:O10" si="5">SUM(M9:N9)</f>
        <v>256</v>
      </c>
      <c r="P9" s="418"/>
      <c r="Q9" s="418">
        <f t="shared" ref="Q9:Q10" si="6">SUM(O9:P9)</f>
        <v>256</v>
      </c>
      <c r="R9" s="418"/>
      <c r="S9" s="420">
        <f t="shared" ref="S9:S10" si="7">SUM(Q9:R9)</f>
        <v>256</v>
      </c>
      <c r="T9" s="418"/>
      <c r="U9" s="420">
        <f t="shared" ref="U9:U10" si="8">SUM(S9:T9)</f>
        <v>256</v>
      </c>
      <c r="V9" s="420">
        <v>1000</v>
      </c>
      <c r="W9" s="418">
        <v>-1000</v>
      </c>
      <c r="X9" s="418">
        <f t="shared" ref="X9:X26" si="9">SUM(V9:W9)</f>
        <v>0</v>
      </c>
    </row>
    <row r="10" spans="1:24" s="141" customFormat="1" ht="17.25" customHeight="1">
      <c r="A10" s="387">
        <v>3</v>
      </c>
      <c r="B10" s="359" t="s">
        <v>199</v>
      </c>
      <c r="C10" s="382">
        <v>11000</v>
      </c>
      <c r="D10" s="382"/>
      <c r="E10" s="382">
        <f t="shared" si="0"/>
        <v>11000</v>
      </c>
      <c r="F10" s="382">
        <v>-11000</v>
      </c>
      <c r="G10" s="382">
        <f t="shared" si="1"/>
        <v>0</v>
      </c>
      <c r="H10" s="382"/>
      <c r="I10" s="382">
        <f t="shared" si="2"/>
        <v>0</v>
      </c>
      <c r="J10" s="382"/>
      <c r="K10" s="414">
        <f t="shared" si="3"/>
        <v>0</v>
      </c>
      <c r="L10" s="382">
        <v>37</v>
      </c>
      <c r="M10" s="420">
        <f t="shared" si="4"/>
        <v>37</v>
      </c>
      <c r="N10" s="418"/>
      <c r="O10" s="420">
        <f t="shared" si="5"/>
        <v>37</v>
      </c>
      <c r="P10" s="418"/>
      <c r="Q10" s="418">
        <f t="shared" si="6"/>
        <v>37</v>
      </c>
      <c r="R10" s="418"/>
      <c r="S10" s="420">
        <f t="shared" si="7"/>
        <v>37</v>
      </c>
      <c r="T10" s="418"/>
      <c r="U10" s="420">
        <f t="shared" si="8"/>
        <v>37</v>
      </c>
      <c r="V10" s="420">
        <v>10000</v>
      </c>
      <c r="W10" s="418">
        <v>-10000</v>
      </c>
      <c r="X10" s="418">
        <f t="shared" si="9"/>
        <v>0</v>
      </c>
    </row>
    <row r="11" spans="1:24" s="141" customFormat="1">
      <c r="A11" s="387">
        <v>4</v>
      </c>
      <c r="B11" s="359" t="s">
        <v>200</v>
      </c>
      <c r="C11" s="382">
        <v>7000</v>
      </c>
      <c r="D11" s="382" t="e">
        <f>-#REF!-#REF!-800-800-500-500</f>
        <v>#REF!</v>
      </c>
      <c r="E11" s="382"/>
      <c r="F11" s="382"/>
      <c r="G11" s="382">
        <f t="shared" ref="G11:G26" si="10">SUM(E11:F11)</f>
        <v>0</v>
      </c>
      <c r="H11" s="382"/>
      <c r="I11" s="382">
        <f t="shared" ref="I11:I25" si="11">SUM(G11:H11)</f>
        <v>0</v>
      </c>
      <c r="J11" s="382"/>
      <c r="K11" s="414">
        <f t="shared" ref="K11:K25" si="12">SUM(I11:J11)</f>
        <v>0</v>
      </c>
      <c r="L11" s="382"/>
      <c r="M11" s="420">
        <f t="shared" ref="M11:M25" si="13">SUM(K11:L11)</f>
        <v>0</v>
      </c>
      <c r="N11" s="418"/>
      <c r="O11" s="420">
        <f t="shared" ref="O11:O25" si="14">SUM(M11:N11)</f>
        <v>0</v>
      </c>
      <c r="P11" s="418"/>
      <c r="Q11" s="418">
        <f t="shared" ref="Q11:Q20" si="15">SUM(O11:P11)</f>
        <v>0</v>
      </c>
      <c r="R11" s="418"/>
      <c r="S11" s="420">
        <f t="shared" ref="S11" si="16">SUM(Q11:R11)</f>
        <v>0</v>
      </c>
      <c r="T11" s="418"/>
      <c r="U11" s="420">
        <f t="shared" ref="U11:U20" si="17">SUM(S11:T11)</f>
        <v>0</v>
      </c>
      <c r="V11" s="420">
        <v>5000</v>
      </c>
      <c r="W11" s="418">
        <f>-3000-2000</f>
        <v>-5000</v>
      </c>
      <c r="X11" s="418">
        <f t="shared" si="9"/>
        <v>0</v>
      </c>
    </row>
    <row r="12" spans="1:24" s="641" customFormat="1">
      <c r="A12" s="646"/>
      <c r="B12" s="359" t="s">
        <v>1065</v>
      </c>
      <c r="C12" s="640"/>
      <c r="D12" s="640"/>
      <c r="E12" s="640"/>
      <c r="F12" s="640"/>
      <c r="G12" s="640"/>
      <c r="H12" s="640"/>
      <c r="I12" s="640"/>
      <c r="J12" s="640"/>
      <c r="K12" s="648"/>
      <c r="L12" s="640"/>
      <c r="M12" s="648"/>
      <c r="N12" s="640"/>
      <c r="O12" s="648"/>
      <c r="P12" s="640"/>
      <c r="Q12" s="640"/>
      <c r="R12" s="640"/>
      <c r="S12" s="648"/>
      <c r="T12" s="640"/>
      <c r="U12" s="648"/>
      <c r="V12" s="648"/>
      <c r="W12" s="640">
        <v>2000</v>
      </c>
      <c r="X12" s="640">
        <f t="shared" si="9"/>
        <v>2000</v>
      </c>
    </row>
    <row r="13" spans="1:24" s="141" customFormat="1">
      <c r="A13" s="387">
        <v>5</v>
      </c>
      <c r="B13" s="397" t="s">
        <v>201</v>
      </c>
      <c r="C13" s="382">
        <f>SUM(C14:C14)</f>
        <v>10000</v>
      </c>
      <c r="D13" s="418">
        <f t="shared" ref="D13:V13" si="18">SUM(D14:D14)</f>
        <v>0</v>
      </c>
      <c r="E13" s="418">
        <f t="shared" si="18"/>
        <v>10000</v>
      </c>
      <c r="F13" s="418">
        <f t="shared" si="18"/>
        <v>0</v>
      </c>
      <c r="G13" s="418">
        <f t="shared" si="18"/>
        <v>10000</v>
      </c>
      <c r="H13" s="418">
        <f t="shared" si="18"/>
        <v>0</v>
      </c>
      <c r="I13" s="418">
        <f t="shared" si="18"/>
        <v>10000</v>
      </c>
      <c r="J13" s="418">
        <f t="shared" si="18"/>
        <v>0</v>
      </c>
      <c r="K13" s="418">
        <f t="shared" si="18"/>
        <v>10000</v>
      </c>
      <c r="L13" s="418">
        <f t="shared" si="18"/>
        <v>0</v>
      </c>
      <c r="M13" s="418">
        <f t="shared" si="18"/>
        <v>10000</v>
      </c>
      <c r="N13" s="418">
        <f t="shared" si="18"/>
        <v>0</v>
      </c>
      <c r="O13" s="418">
        <f t="shared" si="18"/>
        <v>10000</v>
      </c>
      <c r="P13" s="418">
        <f t="shared" si="18"/>
        <v>0</v>
      </c>
      <c r="Q13" s="418">
        <f t="shared" si="18"/>
        <v>10000</v>
      </c>
      <c r="R13" s="418">
        <f t="shared" si="18"/>
        <v>0</v>
      </c>
      <c r="S13" s="418">
        <f t="shared" si="18"/>
        <v>10000</v>
      </c>
      <c r="T13" s="418">
        <f t="shared" si="18"/>
        <v>0</v>
      </c>
      <c r="U13" s="418">
        <f t="shared" si="18"/>
        <v>10000</v>
      </c>
      <c r="V13" s="420">
        <f t="shared" si="18"/>
        <v>10000</v>
      </c>
      <c r="W13" s="418"/>
      <c r="X13" s="418">
        <f t="shared" si="9"/>
        <v>10000</v>
      </c>
    </row>
    <row r="14" spans="1:24" s="142" customFormat="1" ht="31.5">
      <c r="A14" s="391">
        <v>1</v>
      </c>
      <c r="B14" s="398" t="s">
        <v>789</v>
      </c>
      <c r="C14" s="383">
        <v>10000</v>
      </c>
      <c r="D14" s="383"/>
      <c r="E14" s="382">
        <f t="shared" ref="E14:E25" si="19">SUM(C14:D14)</f>
        <v>10000</v>
      </c>
      <c r="F14" s="405"/>
      <c r="G14" s="382">
        <f>SUM(E14:F14)</f>
        <v>10000</v>
      </c>
      <c r="H14" s="382"/>
      <c r="I14" s="382">
        <f t="shared" si="11"/>
        <v>10000</v>
      </c>
      <c r="J14" s="382"/>
      <c r="K14" s="414">
        <f t="shared" si="12"/>
        <v>10000</v>
      </c>
      <c r="L14" s="382"/>
      <c r="M14" s="420">
        <f t="shared" si="13"/>
        <v>10000</v>
      </c>
      <c r="N14" s="418"/>
      <c r="O14" s="420">
        <f t="shared" si="14"/>
        <v>10000</v>
      </c>
      <c r="P14" s="418"/>
      <c r="Q14" s="418">
        <f t="shared" si="15"/>
        <v>10000</v>
      </c>
      <c r="R14" s="418"/>
      <c r="S14" s="420">
        <f t="shared" ref="S14:S20" si="20">SUM(Q14:R14)</f>
        <v>10000</v>
      </c>
      <c r="T14" s="418"/>
      <c r="U14" s="420">
        <f t="shared" si="17"/>
        <v>10000</v>
      </c>
      <c r="V14" s="631">
        <v>10000</v>
      </c>
      <c r="W14" s="383"/>
      <c r="X14" s="418">
        <f t="shared" si="9"/>
        <v>10000</v>
      </c>
    </row>
    <row r="15" spans="1:24" s="142" customFormat="1">
      <c r="A15" s="387">
        <v>6</v>
      </c>
      <c r="B15" s="359" t="s">
        <v>202</v>
      </c>
      <c r="C15" s="382">
        <v>22000</v>
      </c>
      <c r="D15" s="382"/>
      <c r="E15" s="382">
        <f t="shared" si="19"/>
        <v>22000</v>
      </c>
      <c r="F15" s="382"/>
      <c r="G15" s="382">
        <f t="shared" si="10"/>
        <v>22000</v>
      </c>
      <c r="H15" s="382"/>
      <c r="I15" s="382">
        <f t="shared" si="11"/>
        <v>22000</v>
      </c>
      <c r="J15" s="382"/>
      <c r="K15" s="414">
        <f t="shared" si="12"/>
        <v>22000</v>
      </c>
      <c r="L15" s="382"/>
      <c r="M15" s="420">
        <f t="shared" si="13"/>
        <v>22000</v>
      </c>
      <c r="N15" s="418"/>
      <c r="O15" s="420">
        <f t="shared" si="14"/>
        <v>22000</v>
      </c>
      <c r="P15" s="418"/>
      <c r="Q15" s="418">
        <f t="shared" si="15"/>
        <v>22000</v>
      </c>
      <c r="R15" s="418"/>
      <c r="S15" s="420">
        <f t="shared" si="20"/>
        <v>22000</v>
      </c>
      <c r="T15" s="418"/>
      <c r="U15" s="420">
        <f t="shared" si="17"/>
        <v>22000</v>
      </c>
      <c r="V15" s="420">
        <v>22000</v>
      </c>
      <c r="W15" s="418"/>
      <c r="X15" s="418">
        <f t="shared" si="9"/>
        <v>22000</v>
      </c>
    </row>
    <row r="16" spans="1:24" s="141" customFormat="1">
      <c r="A16" s="345">
        <v>7</v>
      </c>
      <c r="B16" s="143" t="s">
        <v>451</v>
      </c>
      <c r="C16" s="382">
        <v>2142</v>
      </c>
      <c r="D16" s="382"/>
      <c r="E16" s="382">
        <f t="shared" si="19"/>
        <v>2142</v>
      </c>
      <c r="F16" s="382"/>
      <c r="G16" s="382">
        <f t="shared" si="10"/>
        <v>2142</v>
      </c>
      <c r="H16" s="382"/>
      <c r="I16" s="382">
        <f t="shared" si="11"/>
        <v>2142</v>
      </c>
      <c r="J16" s="382"/>
      <c r="K16" s="414">
        <f t="shared" si="12"/>
        <v>2142</v>
      </c>
      <c r="L16" s="382"/>
      <c r="M16" s="420">
        <f t="shared" si="13"/>
        <v>2142</v>
      </c>
      <c r="N16" s="418"/>
      <c r="O16" s="420">
        <f t="shared" si="14"/>
        <v>2142</v>
      </c>
      <c r="P16" s="418"/>
      <c r="Q16" s="418">
        <f t="shared" si="15"/>
        <v>2142</v>
      </c>
      <c r="R16" s="418"/>
      <c r="S16" s="420">
        <f t="shared" si="20"/>
        <v>2142</v>
      </c>
      <c r="T16" s="418"/>
      <c r="U16" s="420">
        <f t="shared" si="17"/>
        <v>2142</v>
      </c>
      <c r="V16" s="420">
        <v>3000</v>
      </c>
      <c r="W16" s="418"/>
      <c r="X16" s="418">
        <f t="shared" si="9"/>
        <v>3000</v>
      </c>
    </row>
    <row r="17" spans="1:29" s="146" customFormat="1" ht="30">
      <c r="A17" s="387">
        <v>8</v>
      </c>
      <c r="B17" s="389" t="s">
        <v>1013</v>
      </c>
      <c r="C17" s="382">
        <v>14367</v>
      </c>
      <c r="D17" s="382"/>
      <c r="E17" s="382">
        <f t="shared" si="19"/>
        <v>14367</v>
      </c>
      <c r="F17" s="382"/>
      <c r="G17" s="382">
        <f t="shared" si="10"/>
        <v>14367</v>
      </c>
      <c r="H17" s="382"/>
      <c r="I17" s="382">
        <f t="shared" si="11"/>
        <v>14367</v>
      </c>
      <c r="J17" s="382"/>
      <c r="K17" s="414">
        <f t="shared" si="12"/>
        <v>14367</v>
      </c>
      <c r="L17" s="382"/>
      <c r="M17" s="420">
        <f t="shared" si="13"/>
        <v>14367</v>
      </c>
      <c r="N17" s="418"/>
      <c r="O17" s="420">
        <f t="shared" si="14"/>
        <v>14367</v>
      </c>
      <c r="P17" s="418"/>
      <c r="Q17" s="418">
        <f t="shared" si="15"/>
        <v>14367</v>
      </c>
      <c r="R17" s="418"/>
      <c r="S17" s="420">
        <f t="shared" si="20"/>
        <v>14367</v>
      </c>
      <c r="T17" s="418"/>
      <c r="U17" s="420">
        <f t="shared" si="17"/>
        <v>14367</v>
      </c>
      <c r="V17" s="420">
        <v>9341</v>
      </c>
      <c r="W17" s="418"/>
      <c r="X17" s="418">
        <f t="shared" si="9"/>
        <v>9341</v>
      </c>
    </row>
    <row r="18" spans="1:29" s="141" customFormat="1">
      <c r="A18" s="387">
        <v>9</v>
      </c>
      <c r="B18" s="143" t="s">
        <v>371</v>
      </c>
      <c r="C18" s="382">
        <v>1500</v>
      </c>
      <c r="D18" s="382"/>
      <c r="E18" s="382">
        <f t="shared" si="19"/>
        <v>1500</v>
      </c>
      <c r="F18" s="382"/>
      <c r="G18" s="382">
        <f t="shared" si="10"/>
        <v>1500</v>
      </c>
      <c r="H18" s="382"/>
      <c r="I18" s="382">
        <f t="shared" si="11"/>
        <v>1500</v>
      </c>
      <c r="J18" s="382"/>
      <c r="K18" s="414">
        <f t="shared" si="12"/>
        <v>1500</v>
      </c>
      <c r="L18" s="382"/>
      <c r="M18" s="420">
        <f t="shared" si="13"/>
        <v>1500</v>
      </c>
      <c r="N18" s="418"/>
      <c r="O18" s="420">
        <f t="shared" si="14"/>
        <v>1500</v>
      </c>
      <c r="P18" s="418"/>
      <c r="Q18" s="418">
        <f t="shared" si="15"/>
        <v>1500</v>
      </c>
      <c r="R18" s="418"/>
      <c r="S18" s="420">
        <f t="shared" si="20"/>
        <v>1500</v>
      </c>
      <c r="T18" s="418"/>
      <c r="U18" s="420">
        <f t="shared" si="17"/>
        <v>1500</v>
      </c>
      <c r="V18" s="420">
        <v>2000</v>
      </c>
      <c r="W18" s="418"/>
      <c r="X18" s="418">
        <f t="shared" si="9"/>
        <v>2000</v>
      </c>
    </row>
    <row r="19" spans="1:29" s="386" customFormat="1" ht="31.5">
      <c r="A19" s="387">
        <v>10</v>
      </c>
      <c r="B19" s="143" t="s">
        <v>796</v>
      </c>
      <c r="C19" s="418"/>
      <c r="D19" s="418"/>
      <c r="E19" s="418"/>
      <c r="F19" s="418"/>
      <c r="G19" s="418"/>
      <c r="H19" s="418"/>
      <c r="I19" s="418"/>
      <c r="J19" s="418"/>
      <c r="K19" s="420"/>
      <c r="L19" s="418"/>
      <c r="M19" s="420"/>
      <c r="N19" s="418"/>
      <c r="O19" s="420"/>
      <c r="P19" s="418"/>
      <c r="Q19" s="418"/>
      <c r="R19" s="418"/>
      <c r="S19" s="420"/>
      <c r="T19" s="418"/>
      <c r="U19" s="420"/>
      <c r="V19" s="420">
        <v>2000</v>
      </c>
      <c r="W19" s="418"/>
      <c r="X19" s="418">
        <f t="shared" si="9"/>
        <v>2000</v>
      </c>
    </row>
    <row r="20" spans="1:29" s="141" customFormat="1" ht="31.5">
      <c r="A20" s="387">
        <v>11</v>
      </c>
      <c r="B20" s="385" t="s">
        <v>549</v>
      </c>
      <c r="C20" s="382">
        <f>220000-2520</f>
        <v>217480</v>
      </c>
      <c r="D20" s="382"/>
      <c r="E20" s="382">
        <f t="shared" si="19"/>
        <v>217480</v>
      </c>
      <c r="F20" s="382"/>
      <c r="G20" s="382">
        <f t="shared" si="10"/>
        <v>217480</v>
      </c>
      <c r="H20" s="382"/>
      <c r="I20" s="382">
        <f t="shared" si="11"/>
        <v>217480</v>
      </c>
      <c r="J20" s="382"/>
      <c r="K20" s="414">
        <f t="shared" si="12"/>
        <v>217480</v>
      </c>
      <c r="L20" s="382"/>
      <c r="M20" s="420">
        <f t="shared" si="13"/>
        <v>217480</v>
      </c>
      <c r="N20" s="418"/>
      <c r="O20" s="420">
        <f t="shared" si="14"/>
        <v>217480</v>
      </c>
      <c r="P20" s="418"/>
      <c r="Q20" s="418">
        <f t="shared" si="15"/>
        <v>217480</v>
      </c>
      <c r="R20" s="418"/>
      <c r="S20" s="420">
        <f t="shared" si="20"/>
        <v>217480</v>
      </c>
      <c r="T20" s="418"/>
      <c r="U20" s="420">
        <f t="shared" si="17"/>
        <v>217480</v>
      </c>
      <c r="V20" s="420">
        <v>198500</v>
      </c>
      <c r="W20" s="418"/>
      <c r="X20" s="418">
        <f t="shared" si="9"/>
        <v>198500</v>
      </c>
    </row>
    <row r="21" spans="1:29" s="141" customFormat="1" ht="31.5">
      <c r="A21" s="387">
        <v>12</v>
      </c>
      <c r="B21" s="390" t="s">
        <v>571</v>
      </c>
      <c r="C21" s="382">
        <v>85000</v>
      </c>
      <c r="D21" s="382"/>
      <c r="E21" s="382">
        <f t="shared" si="19"/>
        <v>85000</v>
      </c>
      <c r="F21" s="382"/>
      <c r="G21" s="382">
        <f t="shared" si="10"/>
        <v>85000</v>
      </c>
      <c r="H21" s="382"/>
      <c r="I21" s="382">
        <f t="shared" si="11"/>
        <v>85000</v>
      </c>
      <c r="J21" s="382"/>
      <c r="K21" s="414">
        <f t="shared" si="12"/>
        <v>85000</v>
      </c>
      <c r="L21" s="382"/>
      <c r="M21" s="420">
        <f t="shared" si="13"/>
        <v>85000</v>
      </c>
      <c r="N21" s="418"/>
      <c r="O21" s="420">
        <f t="shared" si="14"/>
        <v>85000</v>
      </c>
      <c r="P21" s="418"/>
      <c r="Q21" s="418">
        <f t="shared" ref="Q21:Q34" si="21">SUM(O21:P21)</f>
        <v>85000</v>
      </c>
      <c r="R21" s="418"/>
      <c r="S21" s="420">
        <f t="shared" ref="S21:S25" si="22">SUM(Q21:R21)</f>
        <v>85000</v>
      </c>
      <c r="T21" s="418"/>
      <c r="U21" s="420">
        <f t="shared" ref="U21:U45" si="23">SUM(S21:T21)</f>
        <v>85000</v>
      </c>
      <c r="V21" s="420">
        <v>80000</v>
      </c>
      <c r="W21" s="418"/>
      <c r="X21" s="418">
        <f t="shared" si="9"/>
        <v>80000</v>
      </c>
    </row>
    <row r="22" spans="1:29" s="386" customFormat="1">
      <c r="A22" s="387">
        <v>13</v>
      </c>
      <c r="B22" s="390" t="s">
        <v>674</v>
      </c>
      <c r="C22" s="418"/>
      <c r="D22" s="418"/>
      <c r="E22" s="418"/>
      <c r="F22" s="418"/>
      <c r="G22" s="418"/>
      <c r="H22" s="418"/>
      <c r="I22" s="418"/>
      <c r="J22" s="418"/>
      <c r="K22" s="420"/>
      <c r="L22" s="418"/>
      <c r="M22" s="420"/>
      <c r="N22" s="418"/>
      <c r="O22" s="420"/>
      <c r="P22" s="418"/>
      <c r="Q22" s="418"/>
      <c r="R22" s="418"/>
      <c r="S22" s="420"/>
      <c r="T22" s="418"/>
      <c r="U22" s="420"/>
      <c r="V22" s="420">
        <v>45096</v>
      </c>
      <c r="W22" s="418"/>
      <c r="X22" s="418">
        <f t="shared" si="9"/>
        <v>45096</v>
      </c>
    </row>
    <row r="23" spans="1:29" s="141" customFormat="1" ht="31.5">
      <c r="A23" s="387">
        <v>14</v>
      </c>
      <c r="B23" s="390" t="s">
        <v>819</v>
      </c>
      <c r="C23" s="382">
        <v>25000</v>
      </c>
      <c r="D23" s="382"/>
      <c r="E23" s="382">
        <f t="shared" si="19"/>
        <v>25000</v>
      </c>
      <c r="F23" s="382"/>
      <c r="G23" s="382">
        <f t="shared" si="10"/>
        <v>25000</v>
      </c>
      <c r="H23" s="382"/>
      <c r="I23" s="382">
        <f t="shared" si="11"/>
        <v>25000</v>
      </c>
      <c r="J23" s="382"/>
      <c r="K23" s="414">
        <f t="shared" si="12"/>
        <v>25000</v>
      </c>
      <c r="L23" s="382"/>
      <c r="M23" s="420">
        <f t="shared" si="13"/>
        <v>25000</v>
      </c>
      <c r="N23" s="418"/>
      <c r="O23" s="420">
        <f t="shared" si="14"/>
        <v>25000</v>
      </c>
      <c r="P23" s="418"/>
      <c r="Q23" s="418">
        <f t="shared" si="21"/>
        <v>25000</v>
      </c>
      <c r="R23" s="418"/>
      <c r="S23" s="420">
        <f t="shared" si="22"/>
        <v>25000</v>
      </c>
      <c r="T23" s="418"/>
      <c r="U23" s="420">
        <f t="shared" si="23"/>
        <v>25000</v>
      </c>
      <c r="V23" s="420">
        <v>25000</v>
      </c>
      <c r="W23" s="418"/>
      <c r="X23" s="418">
        <f t="shared" si="9"/>
        <v>25000</v>
      </c>
      <c r="Y23" s="268"/>
      <c r="Z23" s="269"/>
      <c r="AA23" s="140"/>
      <c r="AB23" s="140"/>
      <c r="AC23" s="268"/>
    </row>
    <row r="24" spans="1:29" s="141" customFormat="1" ht="31.5">
      <c r="A24" s="387">
        <v>15</v>
      </c>
      <c r="B24" s="385" t="s">
        <v>462</v>
      </c>
      <c r="C24" s="382">
        <v>4664</v>
      </c>
      <c r="D24" s="382"/>
      <c r="E24" s="382">
        <f t="shared" si="19"/>
        <v>4664</v>
      </c>
      <c r="F24" s="382"/>
      <c r="G24" s="382">
        <f t="shared" si="10"/>
        <v>4664</v>
      </c>
      <c r="H24" s="382"/>
      <c r="I24" s="382">
        <f t="shared" si="11"/>
        <v>4664</v>
      </c>
      <c r="J24" s="382"/>
      <c r="K24" s="414">
        <f t="shared" si="12"/>
        <v>4664</v>
      </c>
      <c r="L24" s="382"/>
      <c r="M24" s="420">
        <f t="shared" si="13"/>
        <v>4664</v>
      </c>
      <c r="N24" s="418"/>
      <c r="O24" s="420">
        <f t="shared" si="14"/>
        <v>4664</v>
      </c>
      <c r="P24" s="418"/>
      <c r="Q24" s="418">
        <f t="shared" si="21"/>
        <v>4664</v>
      </c>
      <c r="R24" s="418"/>
      <c r="S24" s="420">
        <f t="shared" si="22"/>
        <v>4664</v>
      </c>
      <c r="T24" s="418"/>
      <c r="U24" s="420">
        <f t="shared" si="23"/>
        <v>4664</v>
      </c>
      <c r="V24" s="420">
        <v>4055</v>
      </c>
      <c r="W24" s="418"/>
      <c r="X24" s="418">
        <f t="shared" si="9"/>
        <v>4055</v>
      </c>
      <c r="Y24" s="268"/>
      <c r="Z24" s="269"/>
      <c r="AA24" s="140"/>
      <c r="AB24" s="140"/>
      <c r="AC24" s="268"/>
    </row>
    <row r="25" spans="1:29" s="141" customFormat="1" ht="31.5">
      <c r="A25" s="387">
        <v>16</v>
      </c>
      <c r="B25" s="143" t="s">
        <v>1014</v>
      </c>
      <c r="C25" s="381">
        <v>9250</v>
      </c>
      <c r="D25" s="381"/>
      <c r="E25" s="382">
        <f t="shared" si="19"/>
        <v>9250</v>
      </c>
      <c r="F25" s="382"/>
      <c r="G25" s="382">
        <f>SUM(E25:F25)</f>
        <v>9250</v>
      </c>
      <c r="H25" s="382"/>
      <c r="I25" s="382">
        <f t="shared" si="11"/>
        <v>9250</v>
      </c>
      <c r="J25" s="382"/>
      <c r="K25" s="414">
        <f t="shared" si="12"/>
        <v>9250</v>
      </c>
      <c r="L25" s="382"/>
      <c r="M25" s="420">
        <f t="shared" si="13"/>
        <v>9250</v>
      </c>
      <c r="N25" s="418"/>
      <c r="O25" s="420">
        <f t="shared" si="14"/>
        <v>9250</v>
      </c>
      <c r="P25" s="418"/>
      <c r="Q25" s="418">
        <f t="shared" si="21"/>
        <v>9250</v>
      </c>
      <c r="R25" s="418"/>
      <c r="S25" s="420">
        <f t="shared" si="22"/>
        <v>9250</v>
      </c>
      <c r="T25" s="418"/>
      <c r="U25" s="420">
        <f t="shared" si="23"/>
        <v>9250</v>
      </c>
      <c r="V25" s="420">
        <v>10401</v>
      </c>
      <c r="W25" s="418"/>
      <c r="X25" s="418">
        <f t="shared" si="9"/>
        <v>10401</v>
      </c>
      <c r="Y25" s="268"/>
      <c r="Z25" s="269"/>
      <c r="AA25" s="140"/>
    </row>
    <row r="26" spans="1:29" s="386" customFormat="1" ht="45">
      <c r="A26" s="387">
        <v>17</v>
      </c>
      <c r="B26" s="389" t="s">
        <v>780</v>
      </c>
      <c r="C26" s="381"/>
      <c r="D26" s="381"/>
      <c r="E26" s="382"/>
      <c r="F26" s="382">
        <f>15774+20143</f>
        <v>35917</v>
      </c>
      <c r="G26" s="382">
        <f t="shared" si="10"/>
        <v>35917</v>
      </c>
      <c r="H26" s="382"/>
      <c r="I26" s="382">
        <f t="shared" ref="I26" si="24">SUM(G26:H26)</f>
        <v>35917</v>
      </c>
      <c r="J26" s="382">
        <f>2334+1237</f>
        <v>3571</v>
      </c>
      <c r="K26" s="414">
        <f t="shared" ref="K26:K34" si="25">SUM(I26:J26)</f>
        <v>39488</v>
      </c>
      <c r="L26" s="382">
        <v>-2334</v>
      </c>
      <c r="M26" s="420">
        <f t="shared" ref="M26:M37" si="26">SUM(K26:L26)</f>
        <v>37154</v>
      </c>
      <c r="N26" s="418"/>
      <c r="O26" s="420">
        <f t="shared" ref="O26" si="27">SUM(M26:N26)</f>
        <v>37154</v>
      </c>
      <c r="P26" s="418"/>
      <c r="Q26" s="418">
        <f t="shared" si="21"/>
        <v>37154</v>
      </c>
      <c r="R26" s="418"/>
      <c r="S26" s="420">
        <f t="shared" ref="S26" si="28">SUM(Q26:R26)</f>
        <v>37154</v>
      </c>
      <c r="T26" s="418"/>
      <c r="U26" s="420">
        <f t="shared" si="23"/>
        <v>37154</v>
      </c>
      <c r="V26" s="420">
        <v>54954</v>
      </c>
      <c r="W26" s="418"/>
      <c r="X26" s="418">
        <f t="shared" si="9"/>
        <v>54954</v>
      </c>
      <c r="Y26" s="268"/>
      <c r="Z26" s="269"/>
      <c r="AA26" s="140"/>
    </row>
    <row r="27" spans="1:29" s="144" customFormat="1" ht="20.25" customHeight="1">
      <c r="A27" s="779" t="s">
        <v>169</v>
      </c>
      <c r="B27" s="779"/>
      <c r="C27" s="384">
        <f t="shared" ref="C27:W27" si="29">SUM(C8:C26)-C14</f>
        <v>425403</v>
      </c>
      <c r="D27" s="384" t="e">
        <f t="shared" si="29"/>
        <v>#REF!</v>
      </c>
      <c r="E27" s="384">
        <f t="shared" si="29"/>
        <v>418403</v>
      </c>
      <c r="F27" s="384">
        <f t="shared" si="29"/>
        <v>9917</v>
      </c>
      <c r="G27" s="384">
        <f t="shared" si="29"/>
        <v>428320</v>
      </c>
      <c r="H27" s="384">
        <f t="shared" si="29"/>
        <v>-461</v>
      </c>
      <c r="I27" s="384">
        <f t="shared" si="29"/>
        <v>427859</v>
      </c>
      <c r="J27" s="384">
        <f t="shared" si="29"/>
        <v>3571</v>
      </c>
      <c r="K27" s="384">
        <f t="shared" si="29"/>
        <v>431430</v>
      </c>
      <c r="L27" s="384">
        <f t="shared" si="29"/>
        <v>-2297</v>
      </c>
      <c r="M27" s="384">
        <f t="shared" si="29"/>
        <v>429133</v>
      </c>
      <c r="N27" s="384">
        <f t="shared" si="29"/>
        <v>-283</v>
      </c>
      <c r="O27" s="384">
        <f t="shared" si="29"/>
        <v>428850</v>
      </c>
      <c r="P27" s="384">
        <f t="shared" si="29"/>
        <v>0</v>
      </c>
      <c r="Q27" s="384">
        <f t="shared" si="29"/>
        <v>428850</v>
      </c>
      <c r="R27" s="384">
        <f t="shared" si="29"/>
        <v>0</v>
      </c>
      <c r="S27" s="384">
        <f t="shared" si="29"/>
        <v>428850</v>
      </c>
      <c r="T27" s="384">
        <f t="shared" si="29"/>
        <v>0</v>
      </c>
      <c r="U27" s="384">
        <f t="shared" si="29"/>
        <v>428850</v>
      </c>
      <c r="V27" s="632">
        <f t="shared" si="29"/>
        <v>492347</v>
      </c>
      <c r="W27" s="650">
        <f t="shared" si="29"/>
        <v>-24000</v>
      </c>
      <c r="X27" s="645">
        <f t="shared" ref="X27" si="30">SUM(X8:X26)-X14</f>
        <v>468347</v>
      </c>
    </row>
    <row r="28" spans="1:29" s="144" customFormat="1" ht="28.5" customHeight="1">
      <c r="A28" s="773" t="s">
        <v>203</v>
      </c>
      <c r="B28" s="774"/>
      <c r="C28" s="774"/>
      <c r="D28" s="774"/>
      <c r="E28" s="774"/>
      <c r="F28" s="774"/>
      <c r="G28" s="774"/>
      <c r="H28" s="774"/>
      <c r="I28" s="774"/>
      <c r="J28" s="774"/>
      <c r="K28" s="774"/>
      <c r="L28" s="774"/>
      <c r="M28" s="774"/>
      <c r="N28" s="774"/>
      <c r="O28" s="774"/>
      <c r="P28" s="774"/>
      <c r="Q28" s="774"/>
      <c r="R28" s="774"/>
      <c r="S28" s="774"/>
      <c r="T28" s="774"/>
      <c r="U28" s="774"/>
      <c r="V28" s="774"/>
      <c r="W28" s="774"/>
      <c r="X28" s="775"/>
    </row>
    <row r="29" spans="1:29">
      <c r="A29" s="145">
        <v>1</v>
      </c>
      <c r="B29" s="399" t="s">
        <v>1067</v>
      </c>
      <c r="C29" s="418">
        <v>15811</v>
      </c>
      <c r="D29" s="418"/>
      <c r="E29" s="418">
        <f>SUM(C29:D29)</f>
        <v>15811</v>
      </c>
      <c r="F29" s="418"/>
      <c r="G29" s="418">
        <f>SUM(E29:F29)</f>
        <v>15811</v>
      </c>
      <c r="H29" s="418"/>
      <c r="I29" s="418">
        <f>SUM(G29:H29)</f>
        <v>15811</v>
      </c>
      <c r="J29" s="418"/>
      <c r="K29" s="420">
        <f t="shared" si="25"/>
        <v>15811</v>
      </c>
      <c r="L29" s="418"/>
      <c r="M29" s="420">
        <f t="shared" si="26"/>
        <v>15811</v>
      </c>
      <c r="N29" s="418"/>
      <c r="O29" s="420">
        <f>SUM(M29:N29)</f>
        <v>15811</v>
      </c>
      <c r="P29" s="418"/>
      <c r="Q29" s="418">
        <f t="shared" si="21"/>
        <v>15811</v>
      </c>
      <c r="R29" s="418"/>
      <c r="S29" s="420">
        <f t="shared" ref="S29:S34" si="31">SUM(Q29:R29)</f>
        <v>15811</v>
      </c>
      <c r="T29" s="418"/>
      <c r="U29" s="420">
        <f t="shared" si="23"/>
        <v>15811</v>
      </c>
      <c r="V29" s="420">
        <v>14672</v>
      </c>
      <c r="W29" s="418"/>
      <c r="X29" s="418">
        <f>SUM(V29:W29)</f>
        <v>14672</v>
      </c>
    </row>
    <row r="30" spans="1:29">
      <c r="A30" s="643">
        <v>2</v>
      </c>
      <c r="B30" s="647" t="s">
        <v>372</v>
      </c>
      <c r="C30" s="640">
        <v>500</v>
      </c>
      <c r="D30" s="640"/>
      <c r="E30" s="640">
        <f t="shared" ref="E30:E32" si="32">SUM(C30:D30)</f>
        <v>500</v>
      </c>
      <c r="F30" s="640"/>
      <c r="G30" s="640">
        <f t="shared" ref="G30:G34" si="33">SUM(E30:F30)</f>
        <v>500</v>
      </c>
      <c r="H30" s="640">
        <v>-100</v>
      </c>
      <c r="I30" s="640">
        <f t="shared" ref="I30:I37" si="34">SUM(G30:H30)</f>
        <v>400</v>
      </c>
      <c r="J30" s="640"/>
      <c r="K30" s="640">
        <f t="shared" si="25"/>
        <v>400</v>
      </c>
      <c r="L30" s="640"/>
      <c r="M30" s="640">
        <f t="shared" si="26"/>
        <v>400</v>
      </c>
      <c r="N30" s="640"/>
      <c r="O30" s="640">
        <f t="shared" ref="O30:O34" si="35">SUM(M30:N30)</f>
        <v>400</v>
      </c>
      <c r="P30" s="640"/>
      <c r="Q30" s="640">
        <f t="shared" si="21"/>
        <v>400</v>
      </c>
      <c r="R30" s="640">
        <f>-118-216</f>
        <v>-334</v>
      </c>
      <c r="S30" s="640">
        <f t="shared" si="31"/>
        <v>66</v>
      </c>
      <c r="T30" s="640"/>
      <c r="U30" s="640">
        <f t="shared" si="23"/>
        <v>66</v>
      </c>
      <c r="V30" s="640">
        <v>500</v>
      </c>
      <c r="W30" s="640">
        <v>-500</v>
      </c>
      <c r="X30" s="640">
        <f t="shared" ref="X30:X34" si="36">SUM(V30:W30)</f>
        <v>0</v>
      </c>
    </row>
    <row r="31" spans="1:29">
      <c r="A31" s="643">
        <v>3</v>
      </c>
      <c r="B31" s="642" t="s">
        <v>1015</v>
      </c>
      <c r="C31" s="640">
        <v>4000</v>
      </c>
      <c r="D31" s="640"/>
      <c r="E31" s="640">
        <f t="shared" si="32"/>
        <v>4000</v>
      </c>
      <c r="F31" s="640"/>
      <c r="G31" s="640">
        <f t="shared" si="33"/>
        <v>4000</v>
      </c>
      <c r="H31" s="640"/>
      <c r="I31" s="640">
        <f t="shared" si="34"/>
        <v>4000</v>
      </c>
      <c r="J31" s="640"/>
      <c r="K31" s="640">
        <f t="shared" si="25"/>
        <v>4000</v>
      </c>
      <c r="L31" s="640"/>
      <c r="M31" s="640">
        <f t="shared" si="26"/>
        <v>4000</v>
      </c>
      <c r="N31" s="640"/>
      <c r="O31" s="640">
        <f t="shared" si="35"/>
        <v>4000</v>
      </c>
      <c r="P31" s="640"/>
      <c r="Q31" s="640">
        <f t="shared" si="21"/>
        <v>4000</v>
      </c>
      <c r="R31" s="640"/>
      <c r="S31" s="640">
        <f t="shared" si="31"/>
        <v>4000</v>
      </c>
      <c r="T31" s="640"/>
      <c r="U31" s="640">
        <f t="shared" si="23"/>
        <v>4000</v>
      </c>
      <c r="V31" s="640">
        <v>4000</v>
      </c>
      <c r="W31" s="640"/>
      <c r="X31" s="640">
        <f t="shared" si="36"/>
        <v>4000</v>
      </c>
    </row>
    <row r="32" spans="1:29">
      <c r="A32" s="643">
        <v>4</v>
      </c>
      <c r="B32" s="642" t="s">
        <v>422</v>
      </c>
      <c r="C32" s="640">
        <v>500</v>
      </c>
      <c r="D32" s="640"/>
      <c r="E32" s="640">
        <f t="shared" si="32"/>
        <v>500</v>
      </c>
      <c r="F32" s="640"/>
      <c r="G32" s="640">
        <f t="shared" si="33"/>
        <v>500</v>
      </c>
      <c r="H32" s="640"/>
      <c r="I32" s="640">
        <f t="shared" si="34"/>
        <v>500</v>
      </c>
      <c r="J32" s="640"/>
      <c r="K32" s="640">
        <f t="shared" si="25"/>
        <v>500</v>
      </c>
      <c r="L32" s="640"/>
      <c r="M32" s="640">
        <f t="shared" si="26"/>
        <v>500</v>
      </c>
      <c r="N32" s="640"/>
      <c r="O32" s="640">
        <f t="shared" si="35"/>
        <v>500</v>
      </c>
      <c r="P32" s="640"/>
      <c r="Q32" s="640">
        <f t="shared" si="21"/>
        <v>500</v>
      </c>
      <c r="R32" s="640"/>
      <c r="S32" s="640">
        <f t="shared" si="31"/>
        <v>500</v>
      </c>
      <c r="T32" s="640"/>
      <c r="U32" s="640">
        <f t="shared" si="23"/>
        <v>500</v>
      </c>
      <c r="V32" s="640">
        <v>500</v>
      </c>
      <c r="W32" s="640"/>
      <c r="X32" s="640">
        <f t="shared" si="36"/>
        <v>500</v>
      </c>
    </row>
    <row r="33" spans="1:26" ht="31.5">
      <c r="A33" s="643">
        <v>5</v>
      </c>
      <c r="B33" s="190" t="s">
        <v>1048</v>
      </c>
      <c r="C33" s="640"/>
      <c r="D33" s="640"/>
      <c r="E33" s="640"/>
      <c r="F33" s="640"/>
      <c r="G33" s="640">
        <f t="shared" si="33"/>
        <v>0</v>
      </c>
      <c r="H33" s="640"/>
      <c r="I33" s="640">
        <f t="shared" si="34"/>
        <v>0</v>
      </c>
      <c r="J33" s="640"/>
      <c r="K33" s="640">
        <f t="shared" si="25"/>
        <v>0</v>
      </c>
      <c r="L33" s="640"/>
      <c r="M33" s="640">
        <f t="shared" si="26"/>
        <v>0</v>
      </c>
      <c r="N33" s="640"/>
      <c r="O33" s="640">
        <f t="shared" si="35"/>
        <v>0</v>
      </c>
      <c r="P33" s="640"/>
      <c r="Q33" s="640">
        <f t="shared" si="21"/>
        <v>0</v>
      </c>
      <c r="R33" s="640"/>
      <c r="S33" s="640">
        <f t="shared" si="31"/>
        <v>0</v>
      </c>
      <c r="T33" s="640"/>
      <c r="U33" s="640">
        <f t="shared" si="23"/>
        <v>0</v>
      </c>
      <c r="V33" s="640"/>
      <c r="W33" s="640">
        <v>10</v>
      </c>
      <c r="X33" s="640">
        <f t="shared" si="36"/>
        <v>10</v>
      </c>
    </row>
    <row r="34" spans="1:26" ht="48" customHeight="1">
      <c r="A34" s="643">
        <v>6</v>
      </c>
      <c r="B34" s="642" t="s">
        <v>1064</v>
      </c>
      <c r="C34" s="640"/>
      <c r="D34" s="640"/>
      <c r="E34" s="640"/>
      <c r="F34" s="640"/>
      <c r="G34" s="640">
        <f t="shared" si="33"/>
        <v>0</v>
      </c>
      <c r="H34" s="640"/>
      <c r="I34" s="640">
        <f t="shared" si="34"/>
        <v>0</v>
      </c>
      <c r="J34" s="640"/>
      <c r="K34" s="640">
        <f t="shared" si="25"/>
        <v>0</v>
      </c>
      <c r="L34" s="640"/>
      <c r="M34" s="640">
        <f t="shared" si="26"/>
        <v>0</v>
      </c>
      <c r="N34" s="640"/>
      <c r="O34" s="640">
        <f t="shared" si="35"/>
        <v>0</v>
      </c>
      <c r="P34" s="640"/>
      <c r="Q34" s="640">
        <f t="shared" si="21"/>
        <v>0</v>
      </c>
      <c r="R34" s="640"/>
      <c r="S34" s="640">
        <f t="shared" si="31"/>
        <v>0</v>
      </c>
      <c r="T34" s="640"/>
      <c r="U34" s="640">
        <f t="shared" si="23"/>
        <v>0</v>
      </c>
      <c r="V34" s="640"/>
      <c r="W34" s="640">
        <v>200</v>
      </c>
      <c r="X34" s="640">
        <f t="shared" si="36"/>
        <v>200</v>
      </c>
    </row>
    <row r="35" spans="1:26" s="144" customFormat="1" ht="20.25" customHeight="1">
      <c r="A35" s="779" t="s">
        <v>204</v>
      </c>
      <c r="B35" s="779"/>
      <c r="C35" s="645">
        <f t="shared" ref="C35:X35" si="37">SUM(C29:C34)</f>
        <v>20811</v>
      </c>
      <c r="D35" s="645">
        <f t="shared" si="37"/>
        <v>0</v>
      </c>
      <c r="E35" s="645">
        <f t="shared" si="37"/>
        <v>20811</v>
      </c>
      <c r="F35" s="645">
        <f t="shared" si="37"/>
        <v>0</v>
      </c>
      <c r="G35" s="645">
        <f t="shared" si="37"/>
        <v>20811</v>
      </c>
      <c r="H35" s="645">
        <f t="shared" si="37"/>
        <v>-100</v>
      </c>
      <c r="I35" s="645">
        <f t="shared" si="37"/>
        <v>20711</v>
      </c>
      <c r="J35" s="645">
        <f t="shared" si="37"/>
        <v>0</v>
      </c>
      <c r="K35" s="645">
        <f t="shared" si="37"/>
        <v>20711</v>
      </c>
      <c r="L35" s="645">
        <f t="shared" si="37"/>
        <v>0</v>
      </c>
      <c r="M35" s="645">
        <f t="shared" si="37"/>
        <v>20711</v>
      </c>
      <c r="N35" s="645">
        <f t="shared" si="37"/>
        <v>0</v>
      </c>
      <c r="O35" s="645">
        <f t="shared" si="37"/>
        <v>20711</v>
      </c>
      <c r="P35" s="645">
        <f t="shared" si="37"/>
        <v>0</v>
      </c>
      <c r="Q35" s="645">
        <f t="shared" si="37"/>
        <v>20711</v>
      </c>
      <c r="R35" s="645">
        <f t="shared" si="37"/>
        <v>-334</v>
      </c>
      <c r="S35" s="645">
        <f t="shared" si="37"/>
        <v>20377</v>
      </c>
      <c r="T35" s="645">
        <f t="shared" si="37"/>
        <v>0</v>
      </c>
      <c r="U35" s="645">
        <f t="shared" si="37"/>
        <v>20377</v>
      </c>
      <c r="V35" s="645">
        <f t="shared" si="37"/>
        <v>19672</v>
      </c>
      <c r="W35" s="645">
        <f t="shared" si="37"/>
        <v>-290</v>
      </c>
      <c r="X35" s="645">
        <f t="shared" si="37"/>
        <v>19382</v>
      </c>
    </row>
    <row r="36" spans="1:26" s="144" customFormat="1" ht="28.5" hidden="1" customHeight="1">
      <c r="A36" s="773" t="s">
        <v>560</v>
      </c>
      <c r="B36" s="774"/>
      <c r="C36" s="774"/>
      <c r="D36" s="774"/>
      <c r="E36" s="774"/>
      <c r="F36" s="774"/>
      <c r="G36" s="774"/>
      <c r="H36" s="774"/>
      <c r="I36" s="774"/>
      <c r="J36" s="774"/>
      <c r="K36" s="774"/>
      <c r="L36" s="774"/>
      <c r="M36" s="774"/>
      <c r="N36" s="774"/>
      <c r="O36" s="774"/>
      <c r="P36" s="774"/>
      <c r="Q36" s="774"/>
      <c r="R36" s="774"/>
      <c r="S36" s="774"/>
      <c r="T36" s="774"/>
      <c r="U36" s="774"/>
      <c r="V36" s="774"/>
      <c r="W36" s="635"/>
      <c r="X36" s="635"/>
    </row>
    <row r="37" spans="1:26" s="144" customFormat="1" hidden="1">
      <c r="A37" s="387">
        <v>1</v>
      </c>
      <c r="B37" s="359"/>
      <c r="C37" s="384"/>
      <c r="D37" s="382">
        <v>3000</v>
      </c>
      <c r="E37" s="382">
        <f>SUM(C37:D37)</f>
        <v>3000</v>
      </c>
      <c r="F37" s="382"/>
      <c r="G37" s="382">
        <f>SUM(E37:F37)</f>
        <v>3000</v>
      </c>
      <c r="H37" s="382"/>
      <c r="I37" s="382">
        <f t="shared" si="34"/>
        <v>3000</v>
      </c>
      <c r="J37" s="382"/>
      <c r="K37" s="414">
        <f>SUM(I37:J37)</f>
        <v>3000</v>
      </c>
      <c r="L37" s="382"/>
      <c r="M37" s="420">
        <f t="shared" si="26"/>
        <v>3000</v>
      </c>
      <c r="N37" s="418"/>
      <c r="O37" s="420">
        <f>SUM(M37:N37)</f>
        <v>3000</v>
      </c>
      <c r="P37" s="418"/>
      <c r="Q37" s="418">
        <f>SUM(O37:P37)</f>
        <v>3000</v>
      </c>
      <c r="R37" s="418"/>
      <c r="S37" s="420">
        <f>SUM(Q37:R37)</f>
        <v>3000</v>
      </c>
      <c r="T37" s="418"/>
      <c r="U37" s="420">
        <f t="shared" si="23"/>
        <v>3000</v>
      </c>
      <c r="V37" s="420"/>
      <c r="W37" s="418"/>
      <c r="X37" s="418"/>
    </row>
    <row r="38" spans="1:26" s="144" customFormat="1" hidden="1">
      <c r="A38" s="785" t="s">
        <v>204</v>
      </c>
      <c r="B38" s="785"/>
      <c r="C38" s="609">
        <f>C37</f>
        <v>0</v>
      </c>
      <c r="D38" s="609">
        <f t="shared" ref="D38:V38" si="38">D37</f>
        <v>3000</v>
      </c>
      <c r="E38" s="609">
        <f t="shared" si="38"/>
        <v>3000</v>
      </c>
      <c r="F38" s="609">
        <f t="shared" si="38"/>
        <v>0</v>
      </c>
      <c r="G38" s="609">
        <f t="shared" si="38"/>
        <v>3000</v>
      </c>
      <c r="H38" s="609">
        <f t="shared" si="38"/>
        <v>0</v>
      </c>
      <c r="I38" s="609">
        <f t="shared" si="38"/>
        <v>3000</v>
      </c>
      <c r="J38" s="609">
        <f t="shared" si="38"/>
        <v>0</v>
      </c>
      <c r="K38" s="609">
        <f t="shared" si="38"/>
        <v>3000</v>
      </c>
      <c r="L38" s="609">
        <f t="shared" si="38"/>
        <v>0</v>
      </c>
      <c r="M38" s="609">
        <f t="shared" si="38"/>
        <v>3000</v>
      </c>
      <c r="N38" s="609">
        <f t="shared" si="38"/>
        <v>0</v>
      </c>
      <c r="O38" s="609">
        <f t="shared" si="38"/>
        <v>3000</v>
      </c>
      <c r="P38" s="609">
        <f t="shared" si="38"/>
        <v>0</v>
      </c>
      <c r="Q38" s="609">
        <f t="shared" si="38"/>
        <v>3000</v>
      </c>
      <c r="R38" s="609">
        <f t="shared" si="38"/>
        <v>0</v>
      </c>
      <c r="S38" s="609">
        <f t="shared" si="38"/>
        <v>3000</v>
      </c>
      <c r="T38" s="609">
        <f t="shared" si="38"/>
        <v>0</v>
      </c>
      <c r="U38" s="609">
        <f t="shared" si="38"/>
        <v>3000</v>
      </c>
      <c r="V38" s="633">
        <f t="shared" si="38"/>
        <v>0</v>
      </c>
      <c r="W38" s="609"/>
      <c r="X38" s="609"/>
    </row>
    <row r="39" spans="1:26" s="213" customFormat="1" ht="27.75" customHeight="1">
      <c r="A39" s="776" t="s">
        <v>205</v>
      </c>
      <c r="B39" s="776"/>
      <c r="C39" s="776"/>
      <c r="D39" s="776"/>
      <c r="E39" s="776"/>
      <c r="F39" s="776"/>
      <c r="G39" s="776"/>
      <c r="H39" s="776"/>
      <c r="I39" s="776"/>
      <c r="J39" s="776"/>
      <c r="K39" s="776"/>
      <c r="L39" s="776"/>
      <c r="M39" s="776"/>
      <c r="N39" s="776"/>
      <c r="O39" s="776"/>
      <c r="P39" s="776"/>
      <c r="Q39" s="776"/>
      <c r="R39" s="776"/>
      <c r="S39" s="776"/>
      <c r="T39" s="776"/>
      <c r="U39" s="776"/>
      <c r="V39" s="776"/>
      <c r="W39" s="776"/>
      <c r="X39" s="776"/>
    </row>
    <row r="40" spans="1:26" s="213" customFormat="1" ht="16.5" customHeight="1">
      <c r="A40" s="777" t="s">
        <v>206</v>
      </c>
      <c r="B40" s="777"/>
      <c r="C40" s="777"/>
      <c r="D40" s="777"/>
      <c r="E40" s="777"/>
      <c r="F40" s="777"/>
      <c r="G40" s="777"/>
      <c r="H40" s="777"/>
      <c r="I40" s="777"/>
      <c r="J40" s="777"/>
      <c r="K40" s="777"/>
      <c r="L40" s="777"/>
      <c r="M40" s="777"/>
      <c r="N40" s="777"/>
      <c r="O40" s="777"/>
      <c r="P40" s="777"/>
      <c r="Q40" s="777"/>
      <c r="R40" s="777"/>
      <c r="S40" s="777"/>
      <c r="T40" s="777"/>
      <c r="U40" s="777"/>
      <c r="V40" s="777"/>
      <c r="W40" s="777"/>
      <c r="X40" s="777"/>
    </row>
    <row r="41" spans="1:26" s="212" customFormat="1" ht="15.75" customHeight="1">
      <c r="A41" s="776" t="s">
        <v>567</v>
      </c>
      <c r="B41" s="776"/>
      <c r="C41" s="776"/>
      <c r="D41" s="776"/>
      <c r="E41" s="776"/>
      <c r="F41" s="776"/>
      <c r="G41" s="776"/>
      <c r="H41" s="776"/>
      <c r="I41" s="776"/>
      <c r="J41" s="776"/>
      <c r="K41" s="776"/>
      <c r="L41" s="776"/>
      <c r="M41" s="776"/>
      <c r="N41" s="776"/>
      <c r="O41" s="776"/>
      <c r="P41" s="776"/>
      <c r="Q41" s="776"/>
      <c r="R41" s="776"/>
      <c r="S41" s="776"/>
      <c r="T41" s="776"/>
      <c r="U41" s="776"/>
      <c r="V41" s="776"/>
      <c r="W41" s="776"/>
      <c r="X41" s="776"/>
      <c r="Y41" s="644"/>
      <c r="Z41" s="644"/>
    </row>
    <row r="42" spans="1:26" s="212" customFormat="1" ht="15.75" customHeight="1">
      <c r="A42" s="779" t="s">
        <v>195</v>
      </c>
      <c r="B42" s="779"/>
      <c r="C42" s="369">
        <v>2019</v>
      </c>
      <c r="D42" s="369" t="s">
        <v>556</v>
      </c>
      <c r="E42" s="369" t="s">
        <v>557</v>
      </c>
      <c r="F42" s="369" t="s">
        <v>556</v>
      </c>
      <c r="G42" s="369" t="s">
        <v>557</v>
      </c>
      <c r="H42" s="369" t="s">
        <v>556</v>
      </c>
      <c r="I42" s="369" t="s">
        <v>557</v>
      </c>
      <c r="J42" s="369" t="s">
        <v>556</v>
      </c>
      <c r="K42" s="369" t="s">
        <v>557</v>
      </c>
      <c r="L42" s="369" t="s">
        <v>556</v>
      </c>
      <c r="M42" s="639" t="s">
        <v>557</v>
      </c>
      <c r="N42" s="369" t="s">
        <v>556</v>
      </c>
      <c r="O42" s="369" t="s">
        <v>557</v>
      </c>
      <c r="P42" s="369" t="s">
        <v>556</v>
      </c>
      <c r="Q42" s="369" t="s">
        <v>557</v>
      </c>
      <c r="R42" s="369" t="s">
        <v>556</v>
      </c>
      <c r="S42" s="369" t="s">
        <v>557</v>
      </c>
      <c r="T42" s="369" t="s">
        <v>556</v>
      </c>
      <c r="U42" s="369" t="s">
        <v>641</v>
      </c>
      <c r="V42" s="369">
        <v>2020</v>
      </c>
      <c r="W42" s="588" t="s">
        <v>556</v>
      </c>
      <c r="X42" s="588" t="s">
        <v>557</v>
      </c>
    </row>
    <row r="43" spans="1:26" s="212" customFormat="1" ht="15.75" customHeight="1">
      <c r="A43" s="779" t="s">
        <v>196</v>
      </c>
      <c r="B43" s="779"/>
      <c r="C43" s="639" t="s">
        <v>5</v>
      </c>
      <c r="D43" s="639" t="s">
        <v>6</v>
      </c>
      <c r="E43" s="639" t="s">
        <v>7</v>
      </c>
      <c r="F43" s="639" t="s">
        <v>6</v>
      </c>
      <c r="G43" s="639" t="s">
        <v>7</v>
      </c>
      <c r="H43" s="639" t="s">
        <v>6</v>
      </c>
      <c r="I43" s="639" t="s">
        <v>7</v>
      </c>
      <c r="J43" s="639" t="s">
        <v>6</v>
      </c>
      <c r="K43" s="639" t="s">
        <v>7</v>
      </c>
      <c r="L43" s="639" t="s">
        <v>6</v>
      </c>
      <c r="M43" s="636" t="s">
        <v>7</v>
      </c>
      <c r="N43" s="639" t="s">
        <v>6</v>
      </c>
      <c r="O43" s="639" t="s">
        <v>7</v>
      </c>
      <c r="P43" s="639" t="s">
        <v>6</v>
      </c>
      <c r="Q43" s="639" t="s">
        <v>7</v>
      </c>
      <c r="R43" s="639" t="s">
        <v>6</v>
      </c>
      <c r="S43" s="639" t="s">
        <v>7</v>
      </c>
      <c r="T43" s="639" t="s">
        <v>6</v>
      </c>
      <c r="U43" s="639" t="s">
        <v>7</v>
      </c>
      <c r="V43" s="639" t="s">
        <v>5</v>
      </c>
      <c r="W43" s="639" t="s">
        <v>6</v>
      </c>
      <c r="X43" s="639" t="s">
        <v>7</v>
      </c>
    </row>
    <row r="44" spans="1:26" ht="31.5">
      <c r="A44" s="646">
        <v>1</v>
      </c>
      <c r="B44" s="642" t="s">
        <v>444</v>
      </c>
      <c r="C44" s="637">
        <v>15534</v>
      </c>
      <c r="D44" s="637"/>
      <c r="E44" s="637">
        <f t="shared" ref="E44:E45" si="39">SUM(C44:D44)</f>
        <v>15534</v>
      </c>
      <c r="F44" s="637"/>
      <c r="G44" s="637">
        <f t="shared" ref="G44:G45" si="40">SUM(E44:F44)</f>
        <v>15534</v>
      </c>
      <c r="H44" s="637"/>
      <c r="I44" s="637">
        <f t="shared" ref="I44:I45" si="41">SUM(G44:H44)</f>
        <v>15534</v>
      </c>
      <c r="J44" s="637"/>
      <c r="K44" s="637">
        <f t="shared" ref="K44:K51" si="42">SUM(I44:J44)</f>
        <v>15534</v>
      </c>
      <c r="L44" s="637"/>
      <c r="M44" s="637">
        <f t="shared" ref="M44:M45" si="43">SUM(K44:L44)</f>
        <v>15534</v>
      </c>
      <c r="N44" s="637"/>
      <c r="O44" s="637">
        <f t="shared" ref="O44:O45" si="44">SUM(M44:N44)</f>
        <v>15534</v>
      </c>
      <c r="P44" s="637"/>
      <c r="Q44" s="637">
        <f t="shared" ref="Q44:Q45" si="45">SUM(O44:P44)</f>
        <v>15534</v>
      </c>
      <c r="R44" s="637"/>
      <c r="S44" s="637">
        <f t="shared" ref="S44:S45" si="46">SUM(Q44:R44)</f>
        <v>15534</v>
      </c>
      <c r="T44" s="637">
        <v>-15534</v>
      </c>
      <c r="U44" s="640">
        <f t="shared" si="23"/>
        <v>0</v>
      </c>
      <c r="V44" s="640">
        <v>15534</v>
      </c>
      <c r="W44" s="640"/>
      <c r="X44" s="640">
        <f>SUM(V44:W44)</f>
        <v>15534</v>
      </c>
    </row>
    <row r="45" spans="1:26" ht="36" customHeight="1">
      <c r="A45" s="646">
        <v>2</v>
      </c>
      <c r="B45" s="385" t="s">
        <v>548</v>
      </c>
      <c r="C45" s="637">
        <v>2520</v>
      </c>
      <c r="D45" s="637"/>
      <c r="E45" s="637">
        <f t="shared" si="39"/>
        <v>2520</v>
      </c>
      <c r="F45" s="637"/>
      <c r="G45" s="637">
        <f t="shared" si="40"/>
        <v>2520</v>
      </c>
      <c r="H45" s="637"/>
      <c r="I45" s="637">
        <f t="shared" si="41"/>
        <v>2520</v>
      </c>
      <c r="J45" s="637"/>
      <c r="K45" s="637">
        <f t="shared" si="42"/>
        <v>2520</v>
      </c>
      <c r="L45" s="637"/>
      <c r="M45" s="637">
        <f t="shared" si="43"/>
        <v>2520</v>
      </c>
      <c r="N45" s="637"/>
      <c r="O45" s="637">
        <f t="shared" si="44"/>
        <v>2520</v>
      </c>
      <c r="P45" s="637"/>
      <c r="Q45" s="637">
        <f t="shared" si="45"/>
        <v>2520</v>
      </c>
      <c r="R45" s="637"/>
      <c r="S45" s="637">
        <f t="shared" si="46"/>
        <v>2520</v>
      </c>
      <c r="T45" s="637"/>
      <c r="U45" s="640">
        <f t="shared" si="23"/>
        <v>2520</v>
      </c>
      <c r="V45" s="640">
        <v>1500</v>
      </c>
      <c r="W45" s="640"/>
      <c r="X45" s="640">
        <f t="shared" ref="X45:X48" si="47">SUM(V45:W45)</f>
        <v>1500</v>
      </c>
    </row>
    <row r="46" spans="1:26" ht="31.5">
      <c r="A46" s="387">
        <v>3</v>
      </c>
      <c r="B46" s="390" t="s">
        <v>670</v>
      </c>
      <c r="C46" s="381"/>
      <c r="D46" s="381"/>
      <c r="E46" s="381"/>
      <c r="F46" s="381"/>
      <c r="G46" s="381"/>
      <c r="H46" s="381"/>
      <c r="I46" s="381"/>
      <c r="J46" s="381"/>
      <c r="K46" s="419"/>
      <c r="L46" s="381"/>
      <c r="M46" s="419"/>
      <c r="N46" s="381"/>
      <c r="O46" s="419"/>
      <c r="P46" s="381"/>
      <c r="Q46" s="381"/>
      <c r="R46" s="381"/>
      <c r="S46" s="419"/>
      <c r="T46" s="381"/>
      <c r="U46" s="420"/>
      <c r="V46" s="420">
        <f>15723-13683</f>
        <v>2040</v>
      </c>
      <c r="W46" s="418"/>
      <c r="X46" s="418">
        <f t="shared" si="47"/>
        <v>2040</v>
      </c>
    </row>
    <row r="47" spans="1:26" ht="31.5">
      <c r="A47" s="387">
        <v>4</v>
      </c>
      <c r="B47" s="390" t="s">
        <v>962</v>
      </c>
      <c r="C47" s="381"/>
      <c r="D47" s="381"/>
      <c r="E47" s="381"/>
      <c r="F47" s="381"/>
      <c r="G47" s="381"/>
      <c r="H47" s="381"/>
      <c r="I47" s="381"/>
      <c r="J47" s="381"/>
      <c r="K47" s="419"/>
      <c r="L47" s="381"/>
      <c r="M47" s="419"/>
      <c r="N47" s="381"/>
      <c r="O47" s="419"/>
      <c r="P47" s="381"/>
      <c r="Q47" s="381"/>
      <c r="R47" s="381"/>
      <c r="S47" s="419"/>
      <c r="T47" s="381"/>
      <c r="U47" s="420"/>
      <c r="V47" s="420">
        <v>293869</v>
      </c>
      <c r="W47" s="418"/>
      <c r="X47" s="418">
        <f t="shared" si="47"/>
        <v>293869</v>
      </c>
    </row>
    <row r="48" spans="1:26" s="638" customFormat="1" ht="31.5">
      <c r="A48" s="646">
        <v>5</v>
      </c>
      <c r="B48" s="190" t="s">
        <v>1047</v>
      </c>
      <c r="C48" s="637"/>
      <c r="D48" s="637"/>
      <c r="E48" s="637"/>
      <c r="F48" s="637"/>
      <c r="G48" s="637"/>
      <c r="H48" s="637"/>
      <c r="I48" s="637"/>
      <c r="J48" s="637"/>
      <c r="K48" s="649"/>
      <c r="L48" s="637"/>
      <c r="M48" s="649"/>
      <c r="N48" s="637"/>
      <c r="O48" s="649"/>
      <c r="P48" s="637"/>
      <c r="Q48" s="637"/>
      <c r="R48" s="637"/>
      <c r="S48" s="649"/>
      <c r="T48" s="637"/>
      <c r="U48" s="648"/>
      <c r="V48" s="648"/>
      <c r="W48" s="648">
        <v>150</v>
      </c>
      <c r="X48" s="640">
        <f t="shared" si="47"/>
        <v>150</v>
      </c>
    </row>
    <row r="49" spans="1:24" ht="14.25" customHeight="1">
      <c r="A49" s="779" t="s">
        <v>204</v>
      </c>
      <c r="B49" s="779"/>
      <c r="C49" s="49">
        <f t="shared" ref="C49:U49" si="48">SUM(C44:C45)</f>
        <v>18054</v>
      </c>
      <c r="D49" s="49">
        <f t="shared" si="48"/>
        <v>0</v>
      </c>
      <c r="E49" s="49">
        <f t="shared" si="48"/>
        <v>18054</v>
      </c>
      <c r="F49" s="49">
        <f t="shared" si="48"/>
        <v>0</v>
      </c>
      <c r="G49" s="49">
        <f t="shared" si="48"/>
        <v>18054</v>
      </c>
      <c r="H49" s="49">
        <f t="shared" si="48"/>
        <v>0</v>
      </c>
      <c r="I49" s="49">
        <f t="shared" si="48"/>
        <v>18054</v>
      </c>
      <c r="J49" s="49">
        <f t="shared" si="48"/>
        <v>0</v>
      </c>
      <c r="K49" s="49">
        <f t="shared" si="48"/>
        <v>18054</v>
      </c>
      <c r="L49" s="49">
        <f t="shared" si="48"/>
        <v>0</v>
      </c>
      <c r="M49" s="49">
        <f t="shared" si="48"/>
        <v>18054</v>
      </c>
      <c r="N49" s="49">
        <f t="shared" si="48"/>
        <v>0</v>
      </c>
      <c r="O49" s="49">
        <f t="shared" si="48"/>
        <v>18054</v>
      </c>
      <c r="P49" s="49">
        <f t="shared" si="48"/>
        <v>0</v>
      </c>
      <c r="Q49" s="49">
        <f t="shared" si="48"/>
        <v>18054</v>
      </c>
      <c r="R49" s="49">
        <f t="shared" si="48"/>
        <v>0</v>
      </c>
      <c r="S49" s="49">
        <f t="shared" si="48"/>
        <v>18054</v>
      </c>
      <c r="T49" s="49">
        <f t="shared" si="48"/>
        <v>-15534</v>
      </c>
      <c r="U49" s="49">
        <f t="shared" si="48"/>
        <v>2520</v>
      </c>
      <c r="V49" s="634">
        <f>SUM(V44:V47)</f>
        <v>312943</v>
      </c>
      <c r="W49" s="634">
        <f>SUM(W44:W48)</f>
        <v>150</v>
      </c>
      <c r="X49" s="651">
        <f>SUM(X44:X48)</f>
        <v>313093</v>
      </c>
    </row>
    <row r="50" spans="1:24" s="212" customFormat="1" ht="2.25" hidden="1" customHeight="1">
      <c r="A50" s="782" t="s">
        <v>435</v>
      </c>
      <c r="B50" s="783"/>
      <c r="C50" s="783"/>
      <c r="D50" s="783"/>
      <c r="E50" s="783"/>
      <c r="F50" s="783"/>
      <c r="G50" s="783"/>
      <c r="H50" s="783"/>
      <c r="I50" s="783"/>
      <c r="J50" s="783"/>
      <c r="K50" s="783"/>
      <c r="L50" s="783"/>
      <c r="M50" s="783"/>
      <c r="N50" s="783"/>
      <c r="O50" s="783"/>
      <c r="P50" s="783"/>
      <c r="Q50" s="783"/>
      <c r="R50" s="783"/>
      <c r="S50" s="783"/>
      <c r="T50" s="783"/>
      <c r="U50" s="783"/>
      <c r="V50" s="783"/>
      <c r="W50" s="783"/>
      <c r="X50" s="784"/>
    </row>
    <row r="51" spans="1:24" hidden="1">
      <c r="A51" s="387">
        <v>1</v>
      </c>
      <c r="B51" s="55"/>
      <c r="C51" s="382"/>
      <c r="D51" s="382"/>
      <c r="E51" s="382"/>
      <c r="F51" s="382"/>
      <c r="G51" s="382"/>
      <c r="H51" s="382">
        <v>490</v>
      </c>
      <c r="I51" s="382">
        <f>SUM(G51:H51)</f>
        <v>490</v>
      </c>
      <c r="J51" s="382"/>
      <c r="K51" s="415">
        <f t="shared" si="42"/>
        <v>490</v>
      </c>
      <c r="L51" s="381"/>
      <c r="M51" s="419">
        <f>SUM(K51:L51)</f>
        <v>490</v>
      </c>
      <c r="N51" s="381"/>
      <c r="O51" s="419">
        <f>SUM(M51:N51)</f>
        <v>490</v>
      </c>
      <c r="P51" s="381"/>
      <c r="Q51" s="381">
        <f>SUM(O51:P51)</f>
        <v>490</v>
      </c>
      <c r="R51" s="381"/>
      <c r="S51" s="419">
        <f>SUM(Q51:R51)</f>
        <v>490</v>
      </c>
      <c r="T51" s="381"/>
      <c r="U51" s="420">
        <f t="shared" ref="U51:U55" si="49">SUM(S51:T51)</f>
        <v>490</v>
      </c>
      <c r="V51" s="420">
        <v>0</v>
      </c>
      <c r="W51" s="418"/>
      <c r="X51" s="418">
        <f>SUM(V51:W51)</f>
        <v>0</v>
      </c>
    </row>
    <row r="52" spans="1:24" ht="20.25" hidden="1" customHeight="1">
      <c r="A52" s="387"/>
      <c r="B52" s="400" t="s">
        <v>204</v>
      </c>
      <c r="C52" s="384">
        <f>SUM(C51)</f>
        <v>0</v>
      </c>
      <c r="D52" s="384">
        <f t="shared" ref="D52:V52" si="50">SUM(D51)</f>
        <v>0</v>
      </c>
      <c r="E52" s="384">
        <f t="shared" si="50"/>
        <v>0</v>
      </c>
      <c r="F52" s="384">
        <f t="shared" si="50"/>
        <v>0</v>
      </c>
      <c r="G52" s="384">
        <f t="shared" si="50"/>
        <v>0</v>
      </c>
      <c r="H52" s="384">
        <f t="shared" si="50"/>
        <v>490</v>
      </c>
      <c r="I52" s="384">
        <f t="shared" si="50"/>
        <v>490</v>
      </c>
      <c r="J52" s="384">
        <f t="shared" si="50"/>
        <v>0</v>
      </c>
      <c r="K52" s="384">
        <f t="shared" si="50"/>
        <v>490</v>
      </c>
      <c r="L52" s="384">
        <f t="shared" si="50"/>
        <v>0</v>
      </c>
      <c r="M52" s="384">
        <f t="shared" si="50"/>
        <v>490</v>
      </c>
      <c r="N52" s="384">
        <f t="shared" si="50"/>
        <v>0</v>
      </c>
      <c r="O52" s="384">
        <f t="shared" si="50"/>
        <v>490</v>
      </c>
      <c r="P52" s="384">
        <f t="shared" si="50"/>
        <v>0</v>
      </c>
      <c r="Q52" s="384">
        <f t="shared" si="50"/>
        <v>490</v>
      </c>
      <c r="R52" s="384">
        <f t="shared" si="50"/>
        <v>0</v>
      </c>
      <c r="S52" s="384">
        <f t="shared" si="50"/>
        <v>490</v>
      </c>
      <c r="T52" s="384">
        <f t="shared" si="50"/>
        <v>0</v>
      </c>
      <c r="U52" s="384">
        <f t="shared" si="50"/>
        <v>490</v>
      </c>
      <c r="V52" s="632">
        <f t="shared" si="50"/>
        <v>0</v>
      </c>
      <c r="W52" s="384">
        <f>SUM(W51)</f>
        <v>0</v>
      </c>
      <c r="X52" s="645">
        <f>SUM(X51)</f>
        <v>0</v>
      </c>
    </row>
    <row r="53" spans="1:24">
      <c r="A53" s="782" t="s">
        <v>42</v>
      </c>
      <c r="B53" s="783"/>
      <c r="C53" s="783"/>
      <c r="D53" s="783"/>
      <c r="E53" s="783"/>
      <c r="F53" s="783"/>
      <c r="G53" s="783"/>
      <c r="H53" s="783"/>
      <c r="I53" s="783"/>
      <c r="J53" s="783"/>
      <c r="K53" s="783"/>
      <c r="L53" s="783"/>
      <c r="M53" s="783"/>
      <c r="N53" s="783"/>
      <c r="O53" s="783"/>
      <c r="P53" s="783"/>
      <c r="Q53" s="783"/>
      <c r="R53" s="783"/>
      <c r="S53" s="783"/>
      <c r="T53" s="783"/>
      <c r="U53" s="783"/>
      <c r="V53" s="783"/>
      <c r="W53" s="783"/>
      <c r="X53" s="784"/>
    </row>
    <row r="54" spans="1:24">
      <c r="A54" s="387">
        <v>1</v>
      </c>
      <c r="B54" s="240" t="s">
        <v>816</v>
      </c>
      <c r="C54" s="381">
        <v>1017</v>
      </c>
      <c r="D54" s="381"/>
      <c r="E54" s="381">
        <f>SUM(C54:D54)</f>
        <v>1017</v>
      </c>
      <c r="F54" s="381"/>
      <c r="G54" s="381">
        <f>SUM(E54:F54)</f>
        <v>1017</v>
      </c>
      <c r="H54" s="381"/>
      <c r="I54" s="381">
        <f>SUM(G54:H54)</f>
        <v>1017</v>
      </c>
      <c r="J54" s="381"/>
      <c r="K54" s="415">
        <f t="shared" ref="K54:K55" si="51">SUM(I54:J54)</f>
        <v>1017</v>
      </c>
      <c r="L54" s="381"/>
      <c r="M54" s="419">
        <f>SUM(K54:L54)</f>
        <v>1017</v>
      </c>
      <c r="N54" s="381"/>
      <c r="O54" s="419">
        <f>SUM(M54:N54)</f>
        <v>1017</v>
      </c>
      <c r="P54" s="381"/>
      <c r="Q54" s="381">
        <f>SUM(O54:P54)</f>
        <v>1017</v>
      </c>
      <c r="R54" s="381"/>
      <c r="S54" s="419">
        <f>SUM(Q54:R54)</f>
        <v>1017</v>
      </c>
      <c r="T54" s="381"/>
      <c r="U54" s="420">
        <f t="shared" si="49"/>
        <v>1017</v>
      </c>
      <c r="V54" s="420">
        <v>2167</v>
      </c>
      <c r="W54" s="418"/>
      <c r="X54" s="640">
        <f>SUM(V54:W54)</f>
        <v>2167</v>
      </c>
    </row>
    <row r="55" spans="1:24">
      <c r="A55" s="387">
        <v>2</v>
      </c>
      <c r="B55" s="240" t="s">
        <v>207</v>
      </c>
      <c r="C55" s="381">
        <v>6000</v>
      </c>
      <c r="D55" s="381"/>
      <c r="E55" s="381">
        <f>SUM(C55:D55)</f>
        <v>6000</v>
      </c>
      <c r="F55" s="381"/>
      <c r="G55" s="381">
        <f>SUM(E55:F55)</f>
        <v>6000</v>
      </c>
      <c r="H55" s="381"/>
      <c r="I55" s="381">
        <f>SUM(G55:H55)</f>
        <v>6000</v>
      </c>
      <c r="J55" s="381">
        <v>-900</v>
      </c>
      <c r="K55" s="415">
        <f t="shared" si="51"/>
        <v>5100</v>
      </c>
      <c r="L55" s="381">
        <v>-850</v>
      </c>
      <c r="M55" s="419">
        <f t="shared" ref="M55" si="52">SUM(K55:L55)</f>
        <v>4250</v>
      </c>
      <c r="N55" s="381"/>
      <c r="O55" s="419">
        <f t="shared" ref="O55" si="53">SUM(M55:N55)</f>
        <v>4250</v>
      </c>
      <c r="P55" s="381"/>
      <c r="Q55" s="381">
        <f t="shared" ref="Q55" si="54">SUM(O55:P55)</f>
        <v>4250</v>
      </c>
      <c r="R55" s="381"/>
      <c r="S55" s="419">
        <f t="shared" ref="S55" si="55">SUM(Q55:R55)</f>
        <v>4250</v>
      </c>
      <c r="T55" s="381">
        <v>-400</v>
      </c>
      <c r="U55" s="420">
        <f t="shared" si="49"/>
        <v>3850</v>
      </c>
      <c r="V55" s="420">
        <v>6000</v>
      </c>
      <c r="W55" s="418"/>
      <c r="X55" s="640">
        <f t="shared" ref="X55" si="56">SUM(V55:W55)</f>
        <v>6000</v>
      </c>
    </row>
    <row r="56" spans="1:24">
      <c r="A56" s="779" t="s">
        <v>169</v>
      </c>
      <c r="B56" s="779"/>
      <c r="C56" s="49">
        <f>SUM(C54:C55)</f>
        <v>7017</v>
      </c>
      <c r="D56" s="49">
        <f t="shared" ref="D56:X56" si="57">SUM(D54:D55)</f>
        <v>0</v>
      </c>
      <c r="E56" s="49">
        <f t="shared" si="57"/>
        <v>7017</v>
      </c>
      <c r="F56" s="49">
        <f t="shared" si="57"/>
        <v>0</v>
      </c>
      <c r="G56" s="49">
        <f t="shared" si="57"/>
        <v>7017</v>
      </c>
      <c r="H56" s="49">
        <f t="shared" si="57"/>
        <v>0</v>
      </c>
      <c r="I56" s="49">
        <f t="shared" si="57"/>
        <v>7017</v>
      </c>
      <c r="J56" s="49">
        <f t="shared" si="57"/>
        <v>-900</v>
      </c>
      <c r="K56" s="49">
        <f t="shared" si="57"/>
        <v>6117</v>
      </c>
      <c r="L56" s="49">
        <f t="shared" si="57"/>
        <v>-850</v>
      </c>
      <c r="M56" s="49">
        <f t="shared" si="57"/>
        <v>5267</v>
      </c>
      <c r="N56" s="49">
        <f t="shared" si="57"/>
        <v>0</v>
      </c>
      <c r="O56" s="49">
        <f t="shared" si="57"/>
        <v>5267</v>
      </c>
      <c r="P56" s="49">
        <f t="shared" si="57"/>
        <v>0</v>
      </c>
      <c r="Q56" s="49">
        <f t="shared" si="57"/>
        <v>5267</v>
      </c>
      <c r="R56" s="49">
        <f t="shared" si="57"/>
        <v>0</v>
      </c>
      <c r="S56" s="49">
        <f t="shared" si="57"/>
        <v>5267</v>
      </c>
      <c r="T56" s="49">
        <f t="shared" si="57"/>
        <v>-400</v>
      </c>
      <c r="U56" s="49">
        <f t="shared" si="57"/>
        <v>4867</v>
      </c>
      <c r="V56" s="634">
        <f t="shared" si="57"/>
        <v>8167</v>
      </c>
      <c r="W56" s="634">
        <f t="shared" si="57"/>
        <v>0</v>
      </c>
      <c r="X56" s="49">
        <f t="shared" si="57"/>
        <v>8167</v>
      </c>
    </row>
    <row r="57" spans="1:24">
      <c r="A57" s="346"/>
      <c r="B57" s="401"/>
    </row>
    <row r="58" spans="1:24">
      <c r="A58" s="346"/>
      <c r="B58" s="401"/>
    </row>
    <row r="59" spans="1:24">
      <c r="A59" s="346"/>
      <c r="B59" s="401"/>
    </row>
    <row r="60" spans="1:24">
      <c r="A60" s="346"/>
      <c r="B60" s="401"/>
    </row>
    <row r="61" spans="1:24">
      <c r="A61" s="346"/>
      <c r="B61" s="401"/>
    </row>
    <row r="62" spans="1:24">
      <c r="A62" s="346"/>
      <c r="B62" s="401"/>
    </row>
    <row r="63" spans="1:24">
      <c r="A63" s="346"/>
      <c r="B63" s="401"/>
    </row>
    <row r="64" spans="1:24">
      <c r="A64" s="346"/>
      <c r="B64" s="401"/>
    </row>
    <row r="65" spans="1:2">
      <c r="A65" s="346"/>
      <c r="B65" s="401"/>
    </row>
    <row r="66" spans="1:2">
      <c r="A66" s="346"/>
      <c r="B66" s="401"/>
    </row>
    <row r="67" spans="1:2">
      <c r="A67" s="346"/>
      <c r="B67" s="401"/>
    </row>
    <row r="68" spans="1:2">
      <c r="A68" s="346"/>
      <c r="B68" s="401"/>
    </row>
    <row r="69" spans="1:2">
      <c r="A69" s="346"/>
      <c r="B69" s="401"/>
    </row>
    <row r="70" spans="1:2">
      <c r="A70" s="346"/>
      <c r="B70" s="401"/>
    </row>
    <row r="111" spans="2:2">
      <c r="B111" s="403"/>
    </row>
    <row r="112" spans="2:2">
      <c r="B112" s="404"/>
    </row>
  </sheetData>
  <mergeCells count="22">
    <mergeCell ref="A53:X53"/>
    <mergeCell ref="A36:V36"/>
    <mergeCell ref="A56:B56"/>
    <mergeCell ref="A49:B49"/>
    <mergeCell ref="A42:B42"/>
    <mergeCell ref="A43:B43"/>
    <mergeCell ref="A38:B38"/>
    <mergeCell ref="A50:X50"/>
    <mergeCell ref="A41:X41"/>
    <mergeCell ref="A28:X28"/>
    <mergeCell ref="A39:X39"/>
    <mergeCell ref="A40:X40"/>
    <mergeCell ref="T1:U1"/>
    <mergeCell ref="A27:B27"/>
    <mergeCell ref="P1:Q1"/>
    <mergeCell ref="A1:B1"/>
    <mergeCell ref="A5:B5"/>
    <mergeCell ref="A6:B6"/>
    <mergeCell ref="A2:X2"/>
    <mergeCell ref="A3:X3"/>
    <mergeCell ref="A7:X7"/>
    <mergeCell ref="A35:B35"/>
  </mergeCells>
  <printOptions horizontalCentered="1" verticalCentered="1"/>
  <pageMargins left="0.11811023622047245" right="0.11811023622047245" top="0.15748031496062992" bottom="0.11811023622047245" header="0.11811023622047245" footer="0.11811023622047245"/>
  <pageSetup paperSize="9" scale="95" orientation="portrait" r:id="rId1"/>
  <headerFooter alignWithMargins="0">
    <oddHeader>&amp;P. oldal</oddHeader>
  </headerFooter>
  <rowBreaks count="1" manualBreakCount="1">
    <brk id="38" max="2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15"/>
  <sheetViews>
    <sheetView view="pageBreakPreview" zoomScaleNormal="100" zoomScaleSheetLayoutView="100" workbookViewId="0">
      <selection activeCell="F14" sqref="F14"/>
    </sheetView>
  </sheetViews>
  <sheetFormatPr defaultRowHeight="15.75"/>
  <cols>
    <col min="1" max="1" width="5" style="60" customWidth="1"/>
    <col min="2" max="2" width="88" style="60" customWidth="1"/>
    <col min="3" max="5" width="15.140625" style="358" customWidth="1"/>
    <col min="6" max="16384" width="9.140625" style="60"/>
  </cols>
  <sheetData>
    <row r="1" spans="1:5">
      <c r="A1" s="787"/>
      <c r="B1" s="787"/>
      <c r="D1" s="624"/>
      <c r="E1" s="441" t="s">
        <v>815</v>
      </c>
    </row>
    <row r="2" spans="1:5" ht="18.75">
      <c r="A2" s="789" t="s">
        <v>424</v>
      </c>
      <c r="B2" s="789"/>
      <c r="C2" s="789"/>
      <c r="D2" s="789"/>
      <c r="E2" s="789"/>
    </row>
    <row r="3" spans="1:5">
      <c r="A3" s="61"/>
      <c r="B3" s="61"/>
    </row>
    <row r="4" spans="1:5" ht="16.5" customHeight="1">
      <c r="A4" s="788" t="s">
        <v>208</v>
      </c>
      <c r="B4" s="788"/>
      <c r="C4" s="511">
        <v>2020</v>
      </c>
      <c r="D4" s="511" t="s">
        <v>556</v>
      </c>
      <c r="E4" s="511" t="s">
        <v>557</v>
      </c>
    </row>
    <row r="5" spans="1:5">
      <c r="A5" s="788" t="s">
        <v>209</v>
      </c>
      <c r="B5" s="788"/>
      <c r="C5" s="63" t="s">
        <v>5</v>
      </c>
      <c r="D5" s="63" t="s">
        <v>6</v>
      </c>
      <c r="E5" s="63" t="s">
        <v>7</v>
      </c>
    </row>
    <row r="6" spans="1:5" s="237" customFormat="1">
      <c r="A6" s="239">
        <v>1</v>
      </c>
      <c r="B6" s="78" t="s">
        <v>210</v>
      </c>
      <c r="C6" s="381">
        <v>1000</v>
      </c>
      <c r="D6" s="381">
        <v>-360</v>
      </c>
      <c r="E6" s="381">
        <f>SUM(C6:D6)</f>
        <v>640</v>
      </c>
    </row>
    <row r="7" spans="1:5" s="237" customFormat="1">
      <c r="A7" s="239">
        <v>2</v>
      </c>
      <c r="B7" s="78" t="s">
        <v>373</v>
      </c>
      <c r="C7" s="381">
        <v>500</v>
      </c>
      <c r="D7" s="381">
        <f>-70-430</f>
        <v>-500</v>
      </c>
      <c r="E7" s="381">
        <f t="shared" ref="E7:E12" si="0">SUM(C7:D7)</f>
        <v>0</v>
      </c>
    </row>
    <row r="8" spans="1:5" s="237" customFormat="1">
      <c r="A8" s="362">
        <v>3</v>
      </c>
      <c r="B8" s="78" t="s">
        <v>423</v>
      </c>
      <c r="C8" s="381">
        <v>800</v>
      </c>
      <c r="D8" s="381"/>
      <c r="E8" s="381">
        <f t="shared" si="0"/>
        <v>800</v>
      </c>
    </row>
    <row r="9" spans="1:5" s="237" customFormat="1">
      <c r="A9" s="362">
        <v>4</v>
      </c>
      <c r="B9" s="50" t="s">
        <v>211</v>
      </c>
      <c r="C9" s="78">
        <v>2000</v>
      </c>
      <c r="D9" s="78">
        <v>-2000</v>
      </c>
      <c r="E9" s="381">
        <f t="shared" si="0"/>
        <v>0</v>
      </c>
    </row>
    <row r="10" spans="1:5" s="237" customFormat="1">
      <c r="A10" s="362">
        <v>5</v>
      </c>
      <c r="B10" s="134" t="s">
        <v>212</v>
      </c>
      <c r="C10" s="78">
        <v>10</v>
      </c>
      <c r="D10" s="78"/>
      <c r="E10" s="381">
        <f t="shared" si="0"/>
        <v>10</v>
      </c>
    </row>
    <row r="11" spans="1:5" s="139" customFormat="1" ht="31.5">
      <c r="A11" s="362">
        <v>6</v>
      </c>
      <c r="B11" s="138" t="s">
        <v>653</v>
      </c>
      <c r="C11" s="78">
        <v>2861</v>
      </c>
      <c r="D11" s="78"/>
      <c r="E11" s="381">
        <f t="shared" si="0"/>
        <v>2861</v>
      </c>
    </row>
    <row r="12" spans="1:5" s="139" customFormat="1">
      <c r="A12" s="362">
        <v>7</v>
      </c>
      <c r="B12" s="137" t="s">
        <v>672</v>
      </c>
      <c r="C12" s="78">
        <v>101767</v>
      </c>
      <c r="D12" s="78"/>
      <c r="E12" s="381">
        <f t="shared" si="0"/>
        <v>101767</v>
      </c>
    </row>
    <row r="13" spans="1:5" s="237" customFormat="1">
      <c r="A13" s="786" t="s">
        <v>169</v>
      </c>
      <c r="B13" s="786"/>
      <c r="C13" s="49">
        <f>SUM(C6:C12)</f>
        <v>108938</v>
      </c>
      <c r="D13" s="49">
        <f t="shared" ref="D13:E13" si="1">SUM(D6:D12)</f>
        <v>-2860</v>
      </c>
      <c r="E13" s="49">
        <f t="shared" si="1"/>
        <v>106078</v>
      </c>
    </row>
    <row r="14" spans="1:5" s="237" customFormat="1" ht="21.75" customHeight="1">
      <c r="A14" s="241"/>
      <c r="B14" s="241" t="s">
        <v>213</v>
      </c>
      <c r="C14" s="381">
        <f t="shared" ref="C14:E14" si="2">C13-C15</f>
        <v>6371</v>
      </c>
      <c r="D14" s="381">
        <f t="shared" si="2"/>
        <v>-2860</v>
      </c>
      <c r="E14" s="381">
        <f t="shared" si="2"/>
        <v>3511</v>
      </c>
    </row>
    <row r="15" spans="1:5" s="237" customFormat="1" ht="21" customHeight="1">
      <c r="A15" s="238"/>
      <c r="B15" s="241" t="s">
        <v>214</v>
      </c>
      <c r="C15" s="381">
        <f>C8+C12</f>
        <v>102567</v>
      </c>
      <c r="D15" s="381">
        <f t="shared" ref="D15:E15" si="3">D8+D12</f>
        <v>0</v>
      </c>
      <c r="E15" s="381">
        <f t="shared" si="3"/>
        <v>102567</v>
      </c>
    </row>
  </sheetData>
  <mergeCells count="5">
    <mergeCell ref="A13:B13"/>
    <mergeCell ref="A1:B1"/>
    <mergeCell ref="A4:B4"/>
    <mergeCell ref="A5:B5"/>
    <mergeCell ref="A2:E2"/>
  </mergeCells>
  <printOptions horizontalCentered="1" verticalCentered="1"/>
  <pageMargins left="0.19685039370078741" right="0.19685039370078741" top="0.11811023622047245" bottom="0.19685039370078741" header="0.11811023622047245" footer="0.11811023622047245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26"/>
  <sheetViews>
    <sheetView view="pageBreakPreview" zoomScaleNormal="100" zoomScaleSheetLayoutView="100" workbookViewId="0">
      <selection activeCell="E18" sqref="E18"/>
    </sheetView>
  </sheetViews>
  <sheetFormatPr defaultRowHeight="16.5"/>
  <cols>
    <col min="1" max="1" width="60.42578125" style="115" customWidth="1"/>
    <col min="2" max="2" width="17.7109375" style="115" customWidth="1"/>
    <col min="3" max="4" width="17.7109375" style="115" hidden="1" customWidth="1"/>
    <col min="5" max="5" width="14.7109375" style="115" customWidth="1"/>
    <col min="6" max="7" width="14.7109375" style="115" hidden="1" customWidth="1"/>
    <col min="8" max="8" width="16.140625" style="117" customWidth="1"/>
    <col min="9" max="258" width="9.140625" style="115"/>
    <col min="259" max="259" width="60.42578125" style="115" customWidth="1"/>
    <col min="260" max="261" width="17.7109375" style="115" customWidth="1"/>
    <col min="262" max="263" width="14.7109375" style="115" customWidth="1"/>
    <col min="264" max="264" width="16.140625" style="115" customWidth="1"/>
    <col min="265" max="514" width="9.140625" style="115"/>
    <col min="515" max="515" width="60.42578125" style="115" customWidth="1"/>
    <col min="516" max="517" width="17.7109375" style="115" customWidth="1"/>
    <col min="518" max="519" width="14.7109375" style="115" customWidth="1"/>
    <col min="520" max="520" width="16.140625" style="115" customWidth="1"/>
    <col min="521" max="770" width="9.140625" style="115"/>
    <col min="771" max="771" width="60.42578125" style="115" customWidth="1"/>
    <col min="772" max="773" width="17.7109375" style="115" customWidth="1"/>
    <col min="774" max="775" width="14.7109375" style="115" customWidth="1"/>
    <col min="776" max="776" width="16.140625" style="115" customWidth="1"/>
    <col min="777" max="1026" width="9.140625" style="115"/>
    <col min="1027" max="1027" width="60.42578125" style="115" customWidth="1"/>
    <col min="1028" max="1029" width="17.7109375" style="115" customWidth="1"/>
    <col min="1030" max="1031" width="14.7109375" style="115" customWidth="1"/>
    <col min="1032" max="1032" width="16.140625" style="115" customWidth="1"/>
    <col min="1033" max="1282" width="9.140625" style="115"/>
    <col min="1283" max="1283" width="60.42578125" style="115" customWidth="1"/>
    <col min="1284" max="1285" width="17.7109375" style="115" customWidth="1"/>
    <col min="1286" max="1287" width="14.7109375" style="115" customWidth="1"/>
    <col min="1288" max="1288" width="16.140625" style="115" customWidth="1"/>
    <col min="1289" max="1538" width="9.140625" style="115"/>
    <col min="1539" max="1539" width="60.42578125" style="115" customWidth="1"/>
    <col min="1540" max="1541" width="17.7109375" style="115" customWidth="1"/>
    <col min="1542" max="1543" width="14.7109375" style="115" customWidth="1"/>
    <col min="1544" max="1544" width="16.140625" style="115" customWidth="1"/>
    <col min="1545" max="1794" width="9.140625" style="115"/>
    <col min="1795" max="1795" width="60.42578125" style="115" customWidth="1"/>
    <col min="1796" max="1797" width="17.7109375" style="115" customWidth="1"/>
    <col min="1798" max="1799" width="14.7109375" style="115" customWidth="1"/>
    <col min="1800" max="1800" width="16.140625" style="115" customWidth="1"/>
    <col min="1801" max="2050" width="9.140625" style="115"/>
    <col min="2051" max="2051" width="60.42578125" style="115" customWidth="1"/>
    <col min="2052" max="2053" width="17.7109375" style="115" customWidth="1"/>
    <col min="2054" max="2055" width="14.7109375" style="115" customWidth="1"/>
    <col min="2056" max="2056" width="16.140625" style="115" customWidth="1"/>
    <col min="2057" max="2306" width="9.140625" style="115"/>
    <col min="2307" max="2307" width="60.42578125" style="115" customWidth="1"/>
    <col min="2308" max="2309" width="17.7109375" style="115" customWidth="1"/>
    <col min="2310" max="2311" width="14.7109375" style="115" customWidth="1"/>
    <col min="2312" max="2312" width="16.140625" style="115" customWidth="1"/>
    <col min="2313" max="2562" width="9.140625" style="115"/>
    <col min="2563" max="2563" width="60.42578125" style="115" customWidth="1"/>
    <col min="2564" max="2565" width="17.7109375" style="115" customWidth="1"/>
    <col min="2566" max="2567" width="14.7109375" style="115" customWidth="1"/>
    <col min="2568" max="2568" width="16.140625" style="115" customWidth="1"/>
    <col min="2569" max="2818" width="9.140625" style="115"/>
    <col min="2819" max="2819" width="60.42578125" style="115" customWidth="1"/>
    <col min="2820" max="2821" width="17.7109375" style="115" customWidth="1"/>
    <col min="2822" max="2823" width="14.7109375" style="115" customWidth="1"/>
    <col min="2824" max="2824" width="16.140625" style="115" customWidth="1"/>
    <col min="2825" max="3074" width="9.140625" style="115"/>
    <col min="3075" max="3075" width="60.42578125" style="115" customWidth="1"/>
    <col min="3076" max="3077" width="17.7109375" style="115" customWidth="1"/>
    <col min="3078" max="3079" width="14.7109375" style="115" customWidth="1"/>
    <col min="3080" max="3080" width="16.140625" style="115" customWidth="1"/>
    <col min="3081" max="3330" width="9.140625" style="115"/>
    <col min="3331" max="3331" width="60.42578125" style="115" customWidth="1"/>
    <col min="3332" max="3333" width="17.7109375" style="115" customWidth="1"/>
    <col min="3334" max="3335" width="14.7109375" style="115" customWidth="1"/>
    <col min="3336" max="3336" width="16.140625" style="115" customWidth="1"/>
    <col min="3337" max="3586" width="9.140625" style="115"/>
    <col min="3587" max="3587" width="60.42578125" style="115" customWidth="1"/>
    <col min="3588" max="3589" width="17.7109375" style="115" customWidth="1"/>
    <col min="3590" max="3591" width="14.7109375" style="115" customWidth="1"/>
    <col min="3592" max="3592" width="16.140625" style="115" customWidth="1"/>
    <col min="3593" max="3842" width="9.140625" style="115"/>
    <col min="3843" max="3843" width="60.42578125" style="115" customWidth="1"/>
    <col min="3844" max="3845" width="17.7109375" style="115" customWidth="1"/>
    <col min="3846" max="3847" width="14.7109375" style="115" customWidth="1"/>
    <col min="3848" max="3848" width="16.140625" style="115" customWidth="1"/>
    <col min="3849" max="4098" width="9.140625" style="115"/>
    <col min="4099" max="4099" width="60.42578125" style="115" customWidth="1"/>
    <col min="4100" max="4101" width="17.7109375" style="115" customWidth="1"/>
    <col min="4102" max="4103" width="14.7109375" style="115" customWidth="1"/>
    <col min="4104" max="4104" width="16.140625" style="115" customWidth="1"/>
    <col min="4105" max="4354" width="9.140625" style="115"/>
    <col min="4355" max="4355" width="60.42578125" style="115" customWidth="1"/>
    <col min="4356" max="4357" width="17.7109375" style="115" customWidth="1"/>
    <col min="4358" max="4359" width="14.7109375" style="115" customWidth="1"/>
    <col min="4360" max="4360" width="16.140625" style="115" customWidth="1"/>
    <col min="4361" max="4610" width="9.140625" style="115"/>
    <col min="4611" max="4611" width="60.42578125" style="115" customWidth="1"/>
    <col min="4612" max="4613" width="17.7109375" style="115" customWidth="1"/>
    <col min="4614" max="4615" width="14.7109375" style="115" customWidth="1"/>
    <col min="4616" max="4616" width="16.140625" style="115" customWidth="1"/>
    <col min="4617" max="4866" width="9.140625" style="115"/>
    <col min="4867" max="4867" width="60.42578125" style="115" customWidth="1"/>
    <col min="4868" max="4869" width="17.7109375" style="115" customWidth="1"/>
    <col min="4870" max="4871" width="14.7109375" style="115" customWidth="1"/>
    <col min="4872" max="4872" width="16.140625" style="115" customWidth="1"/>
    <col min="4873" max="5122" width="9.140625" style="115"/>
    <col min="5123" max="5123" width="60.42578125" style="115" customWidth="1"/>
    <col min="5124" max="5125" width="17.7109375" style="115" customWidth="1"/>
    <col min="5126" max="5127" width="14.7109375" style="115" customWidth="1"/>
    <col min="5128" max="5128" width="16.140625" style="115" customWidth="1"/>
    <col min="5129" max="5378" width="9.140625" style="115"/>
    <col min="5379" max="5379" width="60.42578125" style="115" customWidth="1"/>
    <col min="5380" max="5381" width="17.7109375" style="115" customWidth="1"/>
    <col min="5382" max="5383" width="14.7109375" style="115" customWidth="1"/>
    <col min="5384" max="5384" width="16.140625" style="115" customWidth="1"/>
    <col min="5385" max="5634" width="9.140625" style="115"/>
    <col min="5635" max="5635" width="60.42578125" style="115" customWidth="1"/>
    <col min="5636" max="5637" width="17.7109375" style="115" customWidth="1"/>
    <col min="5638" max="5639" width="14.7109375" style="115" customWidth="1"/>
    <col min="5640" max="5640" width="16.140625" style="115" customWidth="1"/>
    <col min="5641" max="5890" width="9.140625" style="115"/>
    <col min="5891" max="5891" width="60.42578125" style="115" customWidth="1"/>
    <col min="5892" max="5893" width="17.7109375" style="115" customWidth="1"/>
    <col min="5894" max="5895" width="14.7109375" style="115" customWidth="1"/>
    <col min="5896" max="5896" width="16.140625" style="115" customWidth="1"/>
    <col min="5897" max="6146" width="9.140625" style="115"/>
    <col min="6147" max="6147" width="60.42578125" style="115" customWidth="1"/>
    <col min="6148" max="6149" width="17.7109375" style="115" customWidth="1"/>
    <col min="6150" max="6151" width="14.7109375" style="115" customWidth="1"/>
    <col min="6152" max="6152" width="16.140625" style="115" customWidth="1"/>
    <col min="6153" max="6402" width="9.140625" style="115"/>
    <col min="6403" max="6403" width="60.42578125" style="115" customWidth="1"/>
    <col min="6404" max="6405" width="17.7109375" style="115" customWidth="1"/>
    <col min="6406" max="6407" width="14.7109375" style="115" customWidth="1"/>
    <col min="6408" max="6408" width="16.140625" style="115" customWidth="1"/>
    <col min="6409" max="6658" width="9.140625" style="115"/>
    <col min="6659" max="6659" width="60.42578125" style="115" customWidth="1"/>
    <col min="6660" max="6661" width="17.7109375" style="115" customWidth="1"/>
    <col min="6662" max="6663" width="14.7109375" style="115" customWidth="1"/>
    <col min="6664" max="6664" width="16.140625" style="115" customWidth="1"/>
    <col min="6665" max="6914" width="9.140625" style="115"/>
    <col min="6915" max="6915" width="60.42578125" style="115" customWidth="1"/>
    <col min="6916" max="6917" width="17.7109375" style="115" customWidth="1"/>
    <col min="6918" max="6919" width="14.7109375" style="115" customWidth="1"/>
    <col min="6920" max="6920" width="16.140625" style="115" customWidth="1"/>
    <col min="6921" max="7170" width="9.140625" style="115"/>
    <col min="7171" max="7171" width="60.42578125" style="115" customWidth="1"/>
    <col min="7172" max="7173" width="17.7109375" style="115" customWidth="1"/>
    <col min="7174" max="7175" width="14.7109375" style="115" customWidth="1"/>
    <col min="7176" max="7176" width="16.140625" style="115" customWidth="1"/>
    <col min="7177" max="7426" width="9.140625" style="115"/>
    <col min="7427" max="7427" width="60.42578125" style="115" customWidth="1"/>
    <col min="7428" max="7429" width="17.7109375" style="115" customWidth="1"/>
    <col min="7430" max="7431" width="14.7109375" style="115" customWidth="1"/>
    <col min="7432" max="7432" width="16.140625" style="115" customWidth="1"/>
    <col min="7433" max="7682" width="9.140625" style="115"/>
    <col min="7683" max="7683" width="60.42578125" style="115" customWidth="1"/>
    <col min="7684" max="7685" width="17.7109375" style="115" customWidth="1"/>
    <col min="7686" max="7687" width="14.7109375" style="115" customWidth="1"/>
    <col min="7688" max="7688" width="16.140625" style="115" customWidth="1"/>
    <col min="7689" max="7938" width="9.140625" style="115"/>
    <col min="7939" max="7939" width="60.42578125" style="115" customWidth="1"/>
    <col min="7940" max="7941" width="17.7109375" style="115" customWidth="1"/>
    <col min="7942" max="7943" width="14.7109375" style="115" customWidth="1"/>
    <col min="7944" max="7944" width="16.140625" style="115" customWidth="1"/>
    <col min="7945" max="8194" width="9.140625" style="115"/>
    <col min="8195" max="8195" width="60.42578125" style="115" customWidth="1"/>
    <col min="8196" max="8197" width="17.7109375" style="115" customWidth="1"/>
    <col min="8198" max="8199" width="14.7109375" style="115" customWidth="1"/>
    <col min="8200" max="8200" width="16.140625" style="115" customWidth="1"/>
    <col min="8201" max="8450" width="9.140625" style="115"/>
    <col min="8451" max="8451" width="60.42578125" style="115" customWidth="1"/>
    <col min="8452" max="8453" width="17.7109375" style="115" customWidth="1"/>
    <col min="8454" max="8455" width="14.7109375" style="115" customWidth="1"/>
    <col min="8456" max="8456" width="16.140625" style="115" customWidth="1"/>
    <col min="8457" max="8706" width="9.140625" style="115"/>
    <col min="8707" max="8707" width="60.42578125" style="115" customWidth="1"/>
    <col min="8708" max="8709" width="17.7109375" style="115" customWidth="1"/>
    <col min="8710" max="8711" width="14.7109375" style="115" customWidth="1"/>
    <col min="8712" max="8712" width="16.140625" style="115" customWidth="1"/>
    <col min="8713" max="8962" width="9.140625" style="115"/>
    <col min="8963" max="8963" width="60.42578125" style="115" customWidth="1"/>
    <col min="8964" max="8965" width="17.7109375" style="115" customWidth="1"/>
    <col min="8966" max="8967" width="14.7109375" style="115" customWidth="1"/>
    <col min="8968" max="8968" width="16.140625" style="115" customWidth="1"/>
    <col min="8969" max="9218" width="9.140625" style="115"/>
    <col min="9219" max="9219" width="60.42578125" style="115" customWidth="1"/>
    <col min="9220" max="9221" width="17.7109375" style="115" customWidth="1"/>
    <col min="9222" max="9223" width="14.7109375" style="115" customWidth="1"/>
    <col min="9224" max="9224" width="16.140625" style="115" customWidth="1"/>
    <col min="9225" max="9474" width="9.140625" style="115"/>
    <col min="9475" max="9475" width="60.42578125" style="115" customWidth="1"/>
    <col min="9476" max="9477" width="17.7109375" style="115" customWidth="1"/>
    <col min="9478" max="9479" width="14.7109375" style="115" customWidth="1"/>
    <col min="9480" max="9480" width="16.140625" style="115" customWidth="1"/>
    <col min="9481" max="9730" width="9.140625" style="115"/>
    <col min="9731" max="9731" width="60.42578125" style="115" customWidth="1"/>
    <col min="9732" max="9733" width="17.7109375" style="115" customWidth="1"/>
    <col min="9734" max="9735" width="14.7109375" style="115" customWidth="1"/>
    <col min="9736" max="9736" width="16.140625" style="115" customWidth="1"/>
    <col min="9737" max="9986" width="9.140625" style="115"/>
    <col min="9987" max="9987" width="60.42578125" style="115" customWidth="1"/>
    <col min="9988" max="9989" width="17.7109375" style="115" customWidth="1"/>
    <col min="9990" max="9991" width="14.7109375" style="115" customWidth="1"/>
    <col min="9992" max="9992" width="16.140625" style="115" customWidth="1"/>
    <col min="9993" max="10242" width="9.140625" style="115"/>
    <col min="10243" max="10243" width="60.42578125" style="115" customWidth="1"/>
    <col min="10244" max="10245" width="17.7109375" style="115" customWidth="1"/>
    <col min="10246" max="10247" width="14.7109375" style="115" customWidth="1"/>
    <col min="10248" max="10248" width="16.140625" style="115" customWidth="1"/>
    <col min="10249" max="10498" width="9.140625" style="115"/>
    <col min="10499" max="10499" width="60.42578125" style="115" customWidth="1"/>
    <col min="10500" max="10501" width="17.7109375" style="115" customWidth="1"/>
    <col min="10502" max="10503" width="14.7109375" style="115" customWidth="1"/>
    <col min="10504" max="10504" width="16.140625" style="115" customWidth="1"/>
    <col min="10505" max="10754" width="9.140625" style="115"/>
    <col min="10755" max="10755" width="60.42578125" style="115" customWidth="1"/>
    <col min="10756" max="10757" width="17.7109375" style="115" customWidth="1"/>
    <col min="10758" max="10759" width="14.7109375" style="115" customWidth="1"/>
    <col min="10760" max="10760" width="16.140625" style="115" customWidth="1"/>
    <col min="10761" max="11010" width="9.140625" style="115"/>
    <col min="11011" max="11011" width="60.42578125" style="115" customWidth="1"/>
    <col min="11012" max="11013" width="17.7109375" style="115" customWidth="1"/>
    <col min="11014" max="11015" width="14.7109375" style="115" customWidth="1"/>
    <col min="11016" max="11016" width="16.140625" style="115" customWidth="1"/>
    <col min="11017" max="11266" width="9.140625" style="115"/>
    <col min="11267" max="11267" width="60.42578125" style="115" customWidth="1"/>
    <col min="11268" max="11269" width="17.7109375" style="115" customWidth="1"/>
    <col min="11270" max="11271" width="14.7109375" style="115" customWidth="1"/>
    <col min="11272" max="11272" width="16.140625" style="115" customWidth="1"/>
    <col min="11273" max="11522" width="9.140625" style="115"/>
    <col min="11523" max="11523" width="60.42578125" style="115" customWidth="1"/>
    <col min="11524" max="11525" width="17.7109375" style="115" customWidth="1"/>
    <col min="11526" max="11527" width="14.7109375" style="115" customWidth="1"/>
    <col min="11528" max="11528" width="16.140625" style="115" customWidth="1"/>
    <col min="11529" max="11778" width="9.140625" style="115"/>
    <col min="11779" max="11779" width="60.42578125" style="115" customWidth="1"/>
    <col min="11780" max="11781" width="17.7109375" style="115" customWidth="1"/>
    <col min="11782" max="11783" width="14.7109375" style="115" customWidth="1"/>
    <col min="11784" max="11784" width="16.140625" style="115" customWidth="1"/>
    <col min="11785" max="12034" width="9.140625" style="115"/>
    <col min="12035" max="12035" width="60.42578125" style="115" customWidth="1"/>
    <col min="12036" max="12037" width="17.7109375" style="115" customWidth="1"/>
    <col min="12038" max="12039" width="14.7109375" style="115" customWidth="1"/>
    <col min="12040" max="12040" width="16.140625" style="115" customWidth="1"/>
    <col min="12041" max="12290" width="9.140625" style="115"/>
    <col min="12291" max="12291" width="60.42578125" style="115" customWidth="1"/>
    <col min="12292" max="12293" width="17.7109375" style="115" customWidth="1"/>
    <col min="12294" max="12295" width="14.7109375" style="115" customWidth="1"/>
    <col min="12296" max="12296" width="16.140625" style="115" customWidth="1"/>
    <col min="12297" max="12546" width="9.140625" style="115"/>
    <col min="12547" max="12547" width="60.42578125" style="115" customWidth="1"/>
    <col min="12548" max="12549" width="17.7109375" style="115" customWidth="1"/>
    <col min="12550" max="12551" width="14.7109375" style="115" customWidth="1"/>
    <col min="12552" max="12552" width="16.140625" style="115" customWidth="1"/>
    <col min="12553" max="12802" width="9.140625" style="115"/>
    <col min="12803" max="12803" width="60.42578125" style="115" customWidth="1"/>
    <col min="12804" max="12805" width="17.7109375" style="115" customWidth="1"/>
    <col min="12806" max="12807" width="14.7109375" style="115" customWidth="1"/>
    <col min="12808" max="12808" width="16.140625" style="115" customWidth="1"/>
    <col min="12809" max="13058" width="9.140625" style="115"/>
    <col min="13059" max="13059" width="60.42578125" style="115" customWidth="1"/>
    <col min="13060" max="13061" width="17.7109375" style="115" customWidth="1"/>
    <col min="13062" max="13063" width="14.7109375" style="115" customWidth="1"/>
    <col min="13064" max="13064" width="16.140625" style="115" customWidth="1"/>
    <col min="13065" max="13314" width="9.140625" style="115"/>
    <col min="13315" max="13315" width="60.42578125" style="115" customWidth="1"/>
    <col min="13316" max="13317" width="17.7109375" style="115" customWidth="1"/>
    <col min="13318" max="13319" width="14.7109375" style="115" customWidth="1"/>
    <col min="13320" max="13320" width="16.140625" style="115" customWidth="1"/>
    <col min="13321" max="13570" width="9.140625" style="115"/>
    <col min="13571" max="13571" width="60.42578125" style="115" customWidth="1"/>
    <col min="13572" max="13573" width="17.7109375" style="115" customWidth="1"/>
    <col min="13574" max="13575" width="14.7109375" style="115" customWidth="1"/>
    <col min="13576" max="13576" width="16.140625" style="115" customWidth="1"/>
    <col min="13577" max="13826" width="9.140625" style="115"/>
    <col min="13827" max="13827" width="60.42578125" style="115" customWidth="1"/>
    <col min="13828" max="13829" width="17.7109375" style="115" customWidth="1"/>
    <col min="13830" max="13831" width="14.7109375" style="115" customWidth="1"/>
    <col min="13832" max="13832" width="16.140625" style="115" customWidth="1"/>
    <col min="13833" max="14082" width="9.140625" style="115"/>
    <col min="14083" max="14083" width="60.42578125" style="115" customWidth="1"/>
    <col min="14084" max="14085" width="17.7109375" style="115" customWidth="1"/>
    <col min="14086" max="14087" width="14.7109375" style="115" customWidth="1"/>
    <col min="14088" max="14088" width="16.140625" style="115" customWidth="1"/>
    <col min="14089" max="14338" width="9.140625" style="115"/>
    <col min="14339" max="14339" width="60.42578125" style="115" customWidth="1"/>
    <col min="14340" max="14341" width="17.7109375" style="115" customWidth="1"/>
    <col min="14342" max="14343" width="14.7109375" style="115" customWidth="1"/>
    <col min="14344" max="14344" width="16.140625" style="115" customWidth="1"/>
    <col min="14345" max="14594" width="9.140625" style="115"/>
    <col min="14595" max="14595" width="60.42578125" style="115" customWidth="1"/>
    <col min="14596" max="14597" width="17.7109375" style="115" customWidth="1"/>
    <col min="14598" max="14599" width="14.7109375" style="115" customWidth="1"/>
    <col min="14600" max="14600" width="16.140625" style="115" customWidth="1"/>
    <col min="14601" max="14850" width="9.140625" style="115"/>
    <col min="14851" max="14851" width="60.42578125" style="115" customWidth="1"/>
    <col min="14852" max="14853" width="17.7109375" style="115" customWidth="1"/>
    <col min="14854" max="14855" width="14.7109375" style="115" customWidth="1"/>
    <col min="14856" max="14856" width="16.140625" style="115" customWidth="1"/>
    <col min="14857" max="15106" width="9.140625" style="115"/>
    <col min="15107" max="15107" width="60.42578125" style="115" customWidth="1"/>
    <col min="15108" max="15109" width="17.7109375" style="115" customWidth="1"/>
    <col min="15110" max="15111" width="14.7109375" style="115" customWidth="1"/>
    <col min="15112" max="15112" width="16.140625" style="115" customWidth="1"/>
    <col min="15113" max="15362" width="9.140625" style="115"/>
    <col min="15363" max="15363" width="60.42578125" style="115" customWidth="1"/>
    <col min="15364" max="15365" width="17.7109375" style="115" customWidth="1"/>
    <col min="15366" max="15367" width="14.7109375" style="115" customWidth="1"/>
    <col min="15368" max="15368" width="16.140625" style="115" customWidth="1"/>
    <col min="15369" max="15618" width="9.140625" style="115"/>
    <col min="15619" max="15619" width="60.42578125" style="115" customWidth="1"/>
    <col min="15620" max="15621" width="17.7109375" style="115" customWidth="1"/>
    <col min="15622" max="15623" width="14.7109375" style="115" customWidth="1"/>
    <col min="15624" max="15624" width="16.140625" style="115" customWidth="1"/>
    <col min="15625" max="15874" width="9.140625" style="115"/>
    <col min="15875" max="15875" width="60.42578125" style="115" customWidth="1"/>
    <col min="15876" max="15877" width="17.7109375" style="115" customWidth="1"/>
    <col min="15878" max="15879" width="14.7109375" style="115" customWidth="1"/>
    <col min="15880" max="15880" width="16.140625" style="115" customWidth="1"/>
    <col min="15881" max="16130" width="9.140625" style="115"/>
    <col min="16131" max="16131" width="60.42578125" style="115" customWidth="1"/>
    <col min="16132" max="16133" width="17.7109375" style="115" customWidth="1"/>
    <col min="16134" max="16135" width="14.7109375" style="115" customWidth="1"/>
    <col min="16136" max="16136" width="16.140625" style="115" customWidth="1"/>
    <col min="16137" max="16384" width="9.140625" style="115"/>
  </cols>
  <sheetData>
    <row r="1" spans="1:8">
      <c r="A1" s="113"/>
      <c r="B1" s="114"/>
      <c r="C1" s="114"/>
      <c r="D1" s="114"/>
      <c r="H1" s="181" t="s">
        <v>643</v>
      </c>
    </row>
    <row r="2" spans="1:8">
      <c r="A2" s="116"/>
    </row>
    <row r="3" spans="1:8">
      <c r="A3" s="790" t="s">
        <v>652</v>
      </c>
      <c r="B3" s="790"/>
      <c r="C3" s="790"/>
      <c r="D3" s="790"/>
      <c r="E3" s="790"/>
      <c r="F3" s="790"/>
      <c r="G3" s="790"/>
      <c r="H3" s="790"/>
    </row>
    <row r="4" spans="1:8">
      <c r="A4" s="118"/>
      <c r="H4" s="444" t="s">
        <v>303</v>
      </c>
    </row>
    <row r="5" spans="1:8">
      <c r="A5" s="791" t="s">
        <v>304</v>
      </c>
      <c r="B5" s="792" t="s">
        <v>305</v>
      </c>
      <c r="C5" s="792"/>
      <c r="D5" s="792"/>
      <c r="E5" s="792"/>
      <c r="F5" s="792"/>
      <c r="G5" s="792"/>
      <c r="H5" s="792"/>
    </row>
    <row r="6" spans="1:8">
      <c r="A6" s="791"/>
      <c r="B6" s="119" t="s">
        <v>306</v>
      </c>
      <c r="C6" s="119" t="s">
        <v>307</v>
      </c>
      <c r="D6" s="374" t="s">
        <v>307</v>
      </c>
      <c r="E6" s="119" t="s">
        <v>308</v>
      </c>
      <c r="F6" s="119" t="s">
        <v>307</v>
      </c>
      <c r="G6" s="374" t="s">
        <v>307</v>
      </c>
      <c r="H6" s="120" t="s">
        <v>309</v>
      </c>
    </row>
    <row r="7" spans="1:8" s="199" customFormat="1" ht="31.5">
      <c r="A7" s="59" t="s">
        <v>564</v>
      </c>
      <c r="B7" s="273">
        <v>92</v>
      </c>
      <c r="C7" s="273"/>
      <c r="D7" s="273"/>
      <c r="E7" s="273">
        <v>55.5</v>
      </c>
      <c r="F7" s="273"/>
      <c r="G7" s="273"/>
      <c r="H7" s="274">
        <f>SUM(B7:G7)</f>
        <v>147.5</v>
      </c>
    </row>
    <row r="8" spans="1:8" s="199" customFormat="1">
      <c r="A8" s="121" t="s">
        <v>310</v>
      </c>
      <c r="B8" s="273">
        <v>72.5</v>
      </c>
      <c r="C8" s="273"/>
      <c r="D8" s="273"/>
      <c r="E8" s="273">
        <v>52</v>
      </c>
      <c r="F8" s="273"/>
      <c r="G8" s="273"/>
      <c r="H8" s="274">
        <f t="shared" ref="H8:H14" si="0">SUM(B8:G8)</f>
        <v>124.5</v>
      </c>
    </row>
    <row r="9" spans="1:8" s="199" customFormat="1">
      <c r="A9" s="121" t="s">
        <v>311</v>
      </c>
      <c r="B9" s="273">
        <v>12</v>
      </c>
      <c r="C9" s="273"/>
      <c r="D9" s="273"/>
      <c r="E9" s="273">
        <v>5</v>
      </c>
      <c r="F9" s="273"/>
      <c r="G9" s="273"/>
      <c r="H9" s="274">
        <f t="shared" si="0"/>
        <v>17</v>
      </c>
    </row>
    <row r="10" spans="1:8" s="199" customFormat="1">
      <c r="A10" s="121" t="s">
        <v>312</v>
      </c>
      <c r="B10" s="273">
        <v>5.5</v>
      </c>
      <c r="C10" s="273"/>
      <c r="D10" s="273"/>
      <c r="E10" s="273">
        <v>9</v>
      </c>
      <c r="F10" s="273"/>
      <c r="G10" s="273"/>
      <c r="H10" s="274">
        <f t="shared" si="0"/>
        <v>14.5</v>
      </c>
    </row>
    <row r="11" spans="1:8" s="199" customFormat="1">
      <c r="A11" s="121" t="s">
        <v>313</v>
      </c>
      <c r="B11" s="274">
        <v>95</v>
      </c>
      <c r="C11" s="274"/>
      <c r="D11" s="274"/>
      <c r="E11" s="274">
        <v>15.5</v>
      </c>
      <c r="F11" s="274"/>
      <c r="G11" s="274"/>
      <c r="H11" s="274">
        <f t="shared" si="0"/>
        <v>110.5</v>
      </c>
    </row>
    <row r="12" spans="1:8" s="199" customFormat="1">
      <c r="A12" s="121" t="s">
        <v>314</v>
      </c>
      <c r="B12" s="274">
        <v>6</v>
      </c>
      <c r="C12" s="274"/>
      <c r="D12" s="274"/>
      <c r="E12" s="274">
        <v>5</v>
      </c>
      <c r="F12" s="274"/>
      <c r="G12" s="274"/>
      <c r="H12" s="274">
        <f t="shared" si="0"/>
        <v>11</v>
      </c>
    </row>
    <row r="13" spans="1:8" s="199" customFormat="1">
      <c r="A13" s="121" t="s">
        <v>315</v>
      </c>
      <c r="B13" s="273">
        <v>17</v>
      </c>
      <c r="C13" s="273"/>
      <c r="D13" s="273"/>
      <c r="E13" s="273">
        <v>1</v>
      </c>
      <c r="F13" s="273"/>
      <c r="G13" s="273"/>
      <c r="H13" s="274">
        <f t="shared" si="0"/>
        <v>18</v>
      </c>
    </row>
    <row r="14" spans="1:8" s="199" customFormat="1">
      <c r="A14" s="121" t="s">
        <v>316</v>
      </c>
      <c r="B14" s="48">
        <v>90</v>
      </c>
      <c r="C14" s="48"/>
      <c r="D14" s="48"/>
      <c r="E14" s="48">
        <v>45.5</v>
      </c>
      <c r="F14" s="48"/>
      <c r="G14" s="48"/>
      <c r="H14" s="274">
        <f t="shared" si="0"/>
        <v>135.5</v>
      </c>
    </row>
    <row r="15" spans="1:8" s="202" customFormat="1">
      <c r="A15" s="200" t="s">
        <v>122</v>
      </c>
      <c r="B15" s="201">
        <f>SUM(B7:B14)</f>
        <v>390</v>
      </c>
      <c r="C15" s="201">
        <f t="shared" ref="C15:G15" si="1">SUM(C7:C14)</f>
        <v>0</v>
      </c>
      <c r="D15" s="201">
        <f t="shared" si="1"/>
        <v>0</v>
      </c>
      <c r="E15" s="201">
        <f t="shared" si="1"/>
        <v>188.5</v>
      </c>
      <c r="F15" s="201">
        <f t="shared" si="1"/>
        <v>0</v>
      </c>
      <c r="G15" s="201">
        <f t="shared" si="1"/>
        <v>0</v>
      </c>
      <c r="H15" s="201">
        <f>SUM(H7:H14)</f>
        <v>578.5</v>
      </c>
    </row>
    <row r="16" spans="1:8" s="199" customFormat="1">
      <c r="A16" s="791" t="s">
        <v>317</v>
      </c>
      <c r="B16" s="791"/>
      <c r="C16" s="791"/>
      <c r="D16" s="791"/>
      <c r="E16" s="791"/>
      <c r="F16" s="791"/>
      <c r="G16" s="791"/>
      <c r="H16" s="791"/>
    </row>
    <row r="17" spans="1:8" s="199" customFormat="1">
      <c r="A17" s="198" t="s">
        <v>318</v>
      </c>
      <c r="B17" s="48">
        <v>2</v>
      </c>
      <c r="C17" s="48"/>
      <c r="D17" s="48"/>
      <c r="E17" s="48">
        <v>0</v>
      </c>
      <c r="F17" s="48"/>
      <c r="G17" s="48"/>
      <c r="H17" s="198">
        <f t="shared" ref="H17:H22" si="2">B17+E17</f>
        <v>2</v>
      </c>
    </row>
    <row r="18" spans="1:8" s="52" customFormat="1" ht="15.75">
      <c r="A18" s="48" t="s">
        <v>319</v>
      </c>
      <c r="B18" s="48"/>
      <c r="C18" s="48"/>
      <c r="D18" s="48"/>
      <c r="E18" s="48">
        <v>3</v>
      </c>
      <c r="F18" s="48"/>
      <c r="G18" s="48"/>
      <c r="H18" s="198">
        <f t="shared" si="2"/>
        <v>3</v>
      </c>
    </row>
    <row r="19" spans="1:8" s="52" customFormat="1" ht="15.75">
      <c r="A19" s="48" t="s">
        <v>320</v>
      </c>
      <c r="B19" s="48"/>
      <c r="C19" s="48"/>
      <c r="D19" s="48"/>
      <c r="E19" s="48">
        <v>1</v>
      </c>
      <c r="F19" s="48"/>
      <c r="G19" s="48"/>
      <c r="H19" s="198">
        <f t="shared" si="2"/>
        <v>1</v>
      </c>
    </row>
    <row r="20" spans="1:8" s="199" customFormat="1">
      <c r="A20" s="203" t="s">
        <v>321</v>
      </c>
      <c r="B20" s="48"/>
      <c r="C20" s="48"/>
      <c r="D20" s="48"/>
      <c r="E20" s="198">
        <v>150</v>
      </c>
      <c r="F20" s="198"/>
      <c r="G20" s="198"/>
      <c r="H20" s="198">
        <f t="shared" si="2"/>
        <v>150</v>
      </c>
    </row>
    <row r="21" spans="1:8" s="199" customFormat="1" ht="47.25">
      <c r="A21" s="131" t="s">
        <v>418</v>
      </c>
      <c r="B21" s="48">
        <v>2</v>
      </c>
      <c r="C21" s="48"/>
      <c r="D21" s="48"/>
      <c r="E21" s="198"/>
      <c r="F21" s="198"/>
      <c r="G21" s="198"/>
      <c r="H21" s="198">
        <f t="shared" si="2"/>
        <v>2</v>
      </c>
    </row>
    <row r="22" spans="1:8" s="199" customFormat="1" ht="31.5">
      <c r="A22" s="385" t="s">
        <v>429</v>
      </c>
      <c r="B22" s="48">
        <v>4</v>
      </c>
      <c r="C22" s="48"/>
      <c r="D22" s="48"/>
      <c r="E22" s="198"/>
      <c r="F22" s="198"/>
      <c r="G22" s="198"/>
      <c r="H22" s="198">
        <f t="shared" si="2"/>
        <v>4</v>
      </c>
    </row>
    <row r="23" spans="1:8" s="199" customFormat="1" ht="31.5">
      <c r="A23" s="390" t="s">
        <v>610</v>
      </c>
      <c r="B23" s="48">
        <v>0.5</v>
      </c>
      <c r="C23" s="48"/>
      <c r="D23" s="48"/>
      <c r="E23" s="198"/>
      <c r="F23" s="198"/>
      <c r="G23" s="198"/>
      <c r="H23" s="198">
        <f>B23+E23+D23+G23</f>
        <v>0.5</v>
      </c>
    </row>
    <row r="24" spans="1:8" s="199" customFormat="1">
      <c r="A24" s="183" t="s">
        <v>614</v>
      </c>
      <c r="B24" s="48">
        <v>1</v>
      </c>
      <c r="C24" s="48"/>
      <c r="D24" s="48"/>
      <c r="E24" s="198"/>
      <c r="F24" s="198"/>
      <c r="G24" s="198"/>
      <c r="H24" s="198">
        <f>B24+E24+D24+G24</f>
        <v>1</v>
      </c>
    </row>
    <row r="25" spans="1:8" s="207" customFormat="1">
      <c r="A25" s="205" t="s">
        <v>322</v>
      </c>
      <c r="B25" s="206">
        <f>SUM(B17:B24)</f>
        <v>9.5</v>
      </c>
      <c r="C25" s="206">
        <f t="shared" ref="C25:H25" si="3">SUM(C17:C24)</f>
        <v>0</v>
      </c>
      <c r="D25" s="206">
        <f t="shared" si="3"/>
        <v>0</v>
      </c>
      <c r="E25" s="206">
        <f t="shared" si="3"/>
        <v>154</v>
      </c>
      <c r="F25" s="206">
        <f t="shared" si="3"/>
        <v>0</v>
      </c>
      <c r="G25" s="206">
        <f t="shared" si="3"/>
        <v>0</v>
      </c>
      <c r="H25" s="206">
        <f t="shared" si="3"/>
        <v>163.5</v>
      </c>
    </row>
    <row r="26" spans="1:8" s="199" customFormat="1">
      <c r="A26" s="208" t="s">
        <v>323</v>
      </c>
      <c r="B26" s="208">
        <f>SUM(B25:B25)</f>
        <v>9.5</v>
      </c>
      <c r="C26" s="208">
        <f t="shared" ref="C26:H26" si="4">SUM(C25:C25)</f>
        <v>0</v>
      </c>
      <c r="D26" s="208">
        <f t="shared" si="4"/>
        <v>0</v>
      </c>
      <c r="E26" s="208">
        <f t="shared" si="4"/>
        <v>154</v>
      </c>
      <c r="F26" s="208">
        <f t="shared" si="4"/>
        <v>0</v>
      </c>
      <c r="G26" s="208">
        <f t="shared" si="4"/>
        <v>0</v>
      </c>
      <c r="H26" s="208">
        <f t="shared" si="4"/>
        <v>163.5</v>
      </c>
    </row>
  </sheetData>
  <mergeCells count="4">
    <mergeCell ref="A3:H3"/>
    <mergeCell ref="A5:A6"/>
    <mergeCell ref="B5:H5"/>
    <mergeCell ref="A16:H1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15"/>
  <sheetViews>
    <sheetView view="pageBreakPreview" zoomScaleNormal="100" zoomScaleSheetLayoutView="100" workbookViewId="0">
      <selection activeCell="E8" sqref="E8"/>
    </sheetView>
  </sheetViews>
  <sheetFormatPr defaultRowHeight="12"/>
  <cols>
    <col min="1" max="1" width="41.85546875" style="66" bestFit="1" customWidth="1"/>
    <col min="2" max="2" width="14" style="66" customWidth="1"/>
    <col min="3" max="3" width="12.5703125" style="66" customWidth="1"/>
    <col min="4" max="4" width="14" style="66" customWidth="1"/>
    <col min="5" max="5" width="19" style="66" customWidth="1"/>
    <col min="6" max="256" width="9.140625" style="66"/>
    <col min="257" max="257" width="41.85546875" style="66" bestFit="1" customWidth="1"/>
    <col min="258" max="258" width="13" style="66" customWidth="1"/>
    <col min="259" max="259" width="12.5703125" style="66" customWidth="1"/>
    <col min="260" max="260" width="14" style="66" customWidth="1"/>
    <col min="261" max="261" width="19" style="66" customWidth="1"/>
    <col min="262" max="512" width="9.140625" style="66"/>
    <col min="513" max="513" width="41.85546875" style="66" bestFit="1" customWidth="1"/>
    <col min="514" max="514" width="13" style="66" customWidth="1"/>
    <col min="515" max="515" width="12.5703125" style="66" customWidth="1"/>
    <col min="516" max="516" width="14" style="66" customWidth="1"/>
    <col min="517" max="517" width="19" style="66" customWidth="1"/>
    <col min="518" max="768" width="9.140625" style="66"/>
    <col min="769" max="769" width="41.85546875" style="66" bestFit="1" customWidth="1"/>
    <col min="770" max="770" width="13" style="66" customWidth="1"/>
    <col min="771" max="771" width="12.5703125" style="66" customWidth="1"/>
    <col min="772" max="772" width="14" style="66" customWidth="1"/>
    <col min="773" max="773" width="19" style="66" customWidth="1"/>
    <col min="774" max="1024" width="9.140625" style="66"/>
    <col min="1025" max="1025" width="41.85546875" style="66" bestFit="1" customWidth="1"/>
    <col min="1026" max="1026" width="13" style="66" customWidth="1"/>
    <col min="1027" max="1027" width="12.5703125" style="66" customWidth="1"/>
    <col min="1028" max="1028" width="14" style="66" customWidth="1"/>
    <col min="1029" max="1029" width="19" style="66" customWidth="1"/>
    <col min="1030" max="1280" width="9.140625" style="66"/>
    <col min="1281" max="1281" width="41.85546875" style="66" bestFit="1" customWidth="1"/>
    <col min="1282" max="1282" width="13" style="66" customWidth="1"/>
    <col min="1283" max="1283" width="12.5703125" style="66" customWidth="1"/>
    <col min="1284" max="1284" width="14" style="66" customWidth="1"/>
    <col min="1285" max="1285" width="19" style="66" customWidth="1"/>
    <col min="1286" max="1536" width="9.140625" style="66"/>
    <col min="1537" max="1537" width="41.85546875" style="66" bestFit="1" customWidth="1"/>
    <col min="1538" max="1538" width="13" style="66" customWidth="1"/>
    <col min="1539" max="1539" width="12.5703125" style="66" customWidth="1"/>
    <col min="1540" max="1540" width="14" style="66" customWidth="1"/>
    <col min="1541" max="1541" width="19" style="66" customWidth="1"/>
    <col min="1542" max="1792" width="9.140625" style="66"/>
    <col min="1793" max="1793" width="41.85546875" style="66" bestFit="1" customWidth="1"/>
    <col min="1794" max="1794" width="13" style="66" customWidth="1"/>
    <col min="1795" max="1795" width="12.5703125" style="66" customWidth="1"/>
    <col min="1796" max="1796" width="14" style="66" customWidth="1"/>
    <col min="1797" max="1797" width="19" style="66" customWidth="1"/>
    <col min="1798" max="2048" width="9.140625" style="66"/>
    <col min="2049" max="2049" width="41.85546875" style="66" bestFit="1" customWidth="1"/>
    <col min="2050" max="2050" width="13" style="66" customWidth="1"/>
    <col min="2051" max="2051" width="12.5703125" style="66" customWidth="1"/>
    <col min="2052" max="2052" width="14" style="66" customWidth="1"/>
    <col min="2053" max="2053" width="19" style="66" customWidth="1"/>
    <col min="2054" max="2304" width="9.140625" style="66"/>
    <col min="2305" max="2305" width="41.85546875" style="66" bestFit="1" customWidth="1"/>
    <col min="2306" max="2306" width="13" style="66" customWidth="1"/>
    <col min="2307" max="2307" width="12.5703125" style="66" customWidth="1"/>
    <col min="2308" max="2308" width="14" style="66" customWidth="1"/>
    <col min="2309" max="2309" width="19" style="66" customWidth="1"/>
    <col min="2310" max="2560" width="9.140625" style="66"/>
    <col min="2561" max="2561" width="41.85546875" style="66" bestFit="1" customWidth="1"/>
    <col min="2562" max="2562" width="13" style="66" customWidth="1"/>
    <col min="2563" max="2563" width="12.5703125" style="66" customWidth="1"/>
    <col min="2564" max="2564" width="14" style="66" customWidth="1"/>
    <col min="2565" max="2565" width="19" style="66" customWidth="1"/>
    <col min="2566" max="2816" width="9.140625" style="66"/>
    <col min="2817" max="2817" width="41.85546875" style="66" bestFit="1" customWidth="1"/>
    <col min="2818" max="2818" width="13" style="66" customWidth="1"/>
    <col min="2819" max="2819" width="12.5703125" style="66" customWidth="1"/>
    <col min="2820" max="2820" width="14" style="66" customWidth="1"/>
    <col min="2821" max="2821" width="19" style="66" customWidth="1"/>
    <col min="2822" max="3072" width="9.140625" style="66"/>
    <col min="3073" max="3073" width="41.85546875" style="66" bestFit="1" customWidth="1"/>
    <col min="3074" max="3074" width="13" style="66" customWidth="1"/>
    <col min="3075" max="3075" width="12.5703125" style="66" customWidth="1"/>
    <col min="3076" max="3076" width="14" style="66" customWidth="1"/>
    <col min="3077" max="3077" width="19" style="66" customWidth="1"/>
    <col min="3078" max="3328" width="9.140625" style="66"/>
    <col min="3329" max="3329" width="41.85546875" style="66" bestFit="1" customWidth="1"/>
    <col min="3330" max="3330" width="13" style="66" customWidth="1"/>
    <col min="3331" max="3331" width="12.5703125" style="66" customWidth="1"/>
    <col min="3332" max="3332" width="14" style="66" customWidth="1"/>
    <col min="3333" max="3333" width="19" style="66" customWidth="1"/>
    <col min="3334" max="3584" width="9.140625" style="66"/>
    <col min="3585" max="3585" width="41.85546875" style="66" bestFit="1" customWidth="1"/>
    <col min="3586" max="3586" width="13" style="66" customWidth="1"/>
    <col min="3587" max="3587" width="12.5703125" style="66" customWidth="1"/>
    <col min="3588" max="3588" width="14" style="66" customWidth="1"/>
    <col min="3589" max="3589" width="19" style="66" customWidth="1"/>
    <col min="3590" max="3840" width="9.140625" style="66"/>
    <col min="3841" max="3841" width="41.85546875" style="66" bestFit="1" customWidth="1"/>
    <col min="3842" max="3842" width="13" style="66" customWidth="1"/>
    <col min="3843" max="3843" width="12.5703125" style="66" customWidth="1"/>
    <col min="3844" max="3844" width="14" style="66" customWidth="1"/>
    <col min="3845" max="3845" width="19" style="66" customWidth="1"/>
    <col min="3846" max="4096" width="9.140625" style="66"/>
    <col min="4097" max="4097" width="41.85546875" style="66" bestFit="1" customWidth="1"/>
    <col min="4098" max="4098" width="13" style="66" customWidth="1"/>
    <col min="4099" max="4099" width="12.5703125" style="66" customWidth="1"/>
    <col min="4100" max="4100" width="14" style="66" customWidth="1"/>
    <col min="4101" max="4101" width="19" style="66" customWidth="1"/>
    <col min="4102" max="4352" width="9.140625" style="66"/>
    <col min="4353" max="4353" width="41.85546875" style="66" bestFit="1" customWidth="1"/>
    <col min="4354" max="4354" width="13" style="66" customWidth="1"/>
    <col min="4355" max="4355" width="12.5703125" style="66" customWidth="1"/>
    <col min="4356" max="4356" width="14" style="66" customWidth="1"/>
    <col min="4357" max="4357" width="19" style="66" customWidth="1"/>
    <col min="4358" max="4608" width="9.140625" style="66"/>
    <col min="4609" max="4609" width="41.85546875" style="66" bestFit="1" customWidth="1"/>
    <col min="4610" max="4610" width="13" style="66" customWidth="1"/>
    <col min="4611" max="4611" width="12.5703125" style="66" customWidth="1"/>
    <col min="4612" max="4612" width="14" style="66" customWidth="1"/>
    <col min="4613" max="4613" width="19" style="66" customWidth="1"/>
    <col min="4614" max="4864" width="9.140625" style="66"/>
    <col min="4865" max="4865" width="41.85546875" style="66" bestFit="1" customWidth="1"/>
    <col min="4866" max="4866" width="13" style="66" customWidth="1"/>
    <col min="4867" max="4867" width="12.5703125" style="66" customWidth="1"/>
    <col min="4868" max="4868" width="14" style="66" customWidth="1"/>
    <col min="4869" max="4869" width="19" style="66" customWidth="1"/>
    <col min="4870" max="5120" width="9.140625" style="66"/>
    <col min="5121" max="5121" width="41.85546875" style="66" bestFit="1" customWidth="1"/>
    <col min="5122" max="5122" width="13" style="66" customWidth="1"/>
    <col min="5123" max="5123" width="12.5703125" style="66" customWidth="1"/>
    <col min="5124" max="5124" width="14" style="66" customWidth="1"/>
    <col min="5125" max="5125" width="19" style="66" customWidth="1"/>
    <col min="5126" max="5376" width="9.140625" style="66"/>
    <col min="5377" max="5377" width="41.85546875" style="66" bestFit="1" customWidth="1"/>
    <col min="5378" max="5378" width="13" style="66" customWidth="1"/>
    <col min="5379" max="5379" width="12.5703125" style="66" customWidth="1"/>
    <col min="5380" max="5380" width="14" style="66" customWidth="1"/>
    <col min="5381" max="5381" width="19" style="66" customWidth="1"/>
    <col min="5382" max="5632" width="9.140625" style="66"/>
    <col min="5633" max="5633" width="41.85546875" style="66" bestFit="1" customWidth="1"/>
    <col min="5634" max="5634" width="13" style="66" customWidth="1"/>
    <col min="5635" max="5635" width="12.5703125" style="66" customWidth="1"/>
    <col min="5636" max="5636" width="14" style="66" customWidth="1"/>
    <col min="5637" max="5637" width="19" style="66" customWidth="1"/>
    <col min="5638" max="5888" width="9.140625" style="66"/>
    <col min="5889" max="5889" width="41.85546875" style="66" bestFit="1" customWidth="1"/>
    <col min="5890" max="5890" width="13" style="66" customWidth="1"/>
    <col min="5891" max="5891" width="12.5703125" style="66" customWidth="1"/>
    <col min="5892" max="5892" width="14" style="66" customWidth="1"/>
    <col min="5893" max="5893" width="19" style="66" customWidth="1"/>
    <col min="5894" max="6144" width="9.140625" style="66"/>
    <col min="6145" max="6145" width="41.85546875" style="66" bestFit="1" customWidth="1"/>
    <col min="6146" max="6146" width="13" style="66" customWidth="1"/>
    <col min="6147" max="6147" width="12.5703125" style="66" customWidth="1"/>
    <col min="6148" max="6148" width="14" style="66" customWidth="1"/>
    <col min="6149" max="6149" width="19" style="66" customWidth="1"/>
    <col min="6150" max="6400" width="9.140625" style="66"/>
    <col min="6401" max="6401" width="41.85546875" style="66" bestFit="1" customWidth="1"/>
    <col min="6402" max="6402" width="13" style="66" customWidth="1"/>
    <col min="6403" max="6403" width="12.5703125" style="66" customWidth="1"/>
    <col min="6404" max="6404" width="14" style="66" customWidth="1"/>
    <col min="6405" max="6405" width="19" style="66" customWidth="1"/>
    <col min="6406" max="6656" width="9.140625" style="66"/>
    <col min="6657" max="6657" width="41.85546875" style="66" bestFit="1" customWidth="1"/>
    <col min="6658" max="6658" width="13" style="66" customWidth="1"/>
    <col min="6659" max="6659" width="12.5703125" style="66" customWidth="1"/>
    <col min="6660" max="6660" width="14" style="66" customWidth="1"/>
    <col min="6661" max="6661" width="19" style="66" customWidth="1"/>
    <col min="6662" max="6912" width="9.140625" style="66"/>
    <col min="6913" max="6913" width="41.85546875" style="66" bestFit="1" customWidth="1"/>
    <col min="6914" max="6914" width="13" style="66" customWidth="1"/>
    <col min="6915" max="6915" width="12.5703125" style="66" customWidth="1"/>
    <col min="6916" max="6916" width="14" style="66" customWidth="1"/>
    <col min="6917" max="6917" width="19" style="66" customWidth="1"/>
    <col min="6918" max="7168" width="9.140625" style="66"/>
    <col min="7169" max="7169" width="41.85546875" style="66" bestFit="1" customWidth="1"/>
    <col min="7170" max="7170" width="13" style="66" customWidth="1"/>
    <col min="7171" max="7171" width="12.5703125" style="66" customWidth="1"/>
    <col min="7172" max="7172" width="14" style="66" customWidth="1"/>
    <col min="7173" max="7173" width="19" style="66" customWidth="1"/>
    <col min="7174" max="7424" width="9.140625" style="66"/>
    <col min="7425" max="7425" width="41.85546875" style="66" bestFit="1" customWidth="1"/>
    <col min="7426" max="7426" width="13" style="66" customWidth="1"/>
    <col min="7427" max="7427" width="12.5703125" style="66" customWidth="1"/>
    <col min="7428" max="7428" width="14" style="66" customWidth="1"/>
    <col min="7429" max="7429" width="19" style="66" customWidth="1"/>
    <col min="7430" max="7680" width="9.140625" style="66"/>
    <col min="7681" max="7681" width="41.85546875" style="66" bestFit="1" customWidth="1"/>
    <col min="7682" max="7682" width="13" style="66" customWidth="1"/>
    <col min="7683" max="7683" width="12.5703125" style="66" customWidth="1"/>
    <col min="7684" max="7684" width="14" style="66" customWidth="1"/>
    <col min="7685" max="7685" width="19" style="66" customWidth="1"/>
    <col min="7686" max="7936" width="9.140625" style="66"/>
    <col min="7937" max="7937" width="41.85546875" style="66" bestFit="1" customWidth="1"/>
    <col min="7938" max="7938" width="13" style="66" customWidth="1"/>
    <col min="7939" max="7939" width="12.5703125" style="66" customWidth="1"/>
    <col min="7940" max="7940" width="14" style="66" customWidth="1"/>
    <col min="7941" max="7941" width="19" style="66" customWidth="1"/>
    <col min="7942" max="8192" width="9.140625" style="66"/>
    <col min="8193" max="8193" width="41.85546875" style="66" bestFit="1" customWidth="1"/>
    <col min="8194" max="8194" width="13" style="66" customWidth="1"/>
    <col min="8195" max="8195" width="12.5703125" style="66" customWidth="1"/>
    <col min="8196" max="8196" width="14" style="66" customWidth="1"/>
    <col min="8197" max="8197" width="19" style="66" customWidth="1"/>
    <col min="8198" max="8448" width="9.140625" style="66"/>
    <col min="8449" max="8449" width="41.85546875" style="66" bestFit="1" customWidth="1"/>
    <col min="8450" max="8450" width="13" style="66" customWidth="1"/>
    <col min="8451" max="8451" width="12.5703125" style="66" customWidth="1"/>
    <col min="8452" max="8452" width="14" style="66" customWidth="1"/>
    <col min="8453" max="8453" width="19" style="66" customWidth="1"/>
    <col min="8454" max="8704" width="9.140625" style="66"/>
    <col min="8705" max="8705" width="41.85546875" style="66" bestFit="1" customWidth="1"/>
    <col min="8706" max="8706" width="13" style="66" customWidth="1"/>
    <col min="8707" max="8707" width="12.5703125" style="66" customWidth="1"/>
    <col min="8708" max="8708" width="14" style="66" customWidth="1"/>
    <col min="8709" max="8709" width="19" style="66" customWidth="1"/>
    <col min="8710" max="8960" width="9.140625" style="66"/>
    <col min="8961" max="8961" width="41.85546875" style="66" bestFit="1" customWidth="1"/>
    <col min="8962" max="8962" width="13" style="66" customWidth="1"/>
    <col min="8963" max="8963" width="12.5703125" style="66" customWidth="1"/>
    <col min="8964" max="8964" width="14" style="66" customWidth="1"/>
    <col min="8965" max="8965" width="19" style="66" customWidth="1"/>
    <col min="8966" max="9216" width="9.140625" style="66"/>
    <col min="9217" max="9217" width="41.85546875" style="66" bestFit="1" customWidth="1"/>
    <col min="9218" max="9218" width="13" style="66" customWidth="1"/>
    <col min="9219" max="9219" width="12.5703125" style="66" customWidth="1"/>
    <col min="9220" max="9220" width="14" style="66" customWidth="1"/>
    <col min="9221" max="9221" width="19" style="66" customWidth="1"/>
    <col min="9222" max="9472" width="9.140625" style="66"/>
    <col min="9473" max="9473" width="41.85546875" style="66" bestFit="1" customWidth="1"/>
    <col min="9474" max="9474" width="13" style="66" customWidth="1"/>
    <col min="9475" max="9475" width="12.5703125" style="66" customWidth="1"/>
    <col min="9476" max="9476" width="14" style="66" customWidth="1"/>
    <col min="9477" max="9477" width="19" style="66" customWidth="1"/>
    <col min="9478" max="9728" width="9.140625" style="66"/>
    <col min="9729" max="9729" width="41.85546875" style="66" bestFit="1" customWidth="1"/>
    <col min="9730" max="9730" width="13" style="66" customWidth="1"/>
    <col min="9731" max="9731" width="12.5703125" style="66" customWidth="1"/>
    <col min="9732" max="9732" width="14" style="66" customWidth="1"/>
    <col min="9733" max="9733" width="19" style="66" customWidth="1"/>
    <col min="9734" max="9984" width="9.140625" style="66"/>
    <col min="9985" max="9985" width="41.85546875" style="66" bestFit="1" customWidth="1"/>
    <col min="9986" max="9986" width="13" style="66" customWidth="1"/>
    <col min="9987" max="9987" width="12.5703125" style="66" customWidth="1"/>
    <col min="9988" max="9988" width="14" style="66" customWidth="1"/>
    <col min="9989" max="9989" width="19" style="66" customWidth="1"/>
    <col min="9990" max="10240" width="9.140625" style="66"/>
    <col min="10241" max="10241" width="41.85546875" style="66" bestFit="1" customWidth="1"/>
    <col min="10242" max="10242" width="13" style="66" customWidth="1"/>
    <col min="10243" max="10243" width="12.5703125" style="66" customWidth="1"/>
    <col min="10244" max="10244" width="14" style="66" customWidth="1"/>
    <col min="10245" max="10245" width="19" style="66" customWidth="1"/>
    <col min="10246" max="10496" width="9.140625" style="66"/>
    <col min="10497" max="10497" width="41.85546875" style="66" bestFit="1" customWidth="1"/>
    <col min="10498" max="10498" width="13" style="66" customWidth="1"/>
    <col min="10499" max="10499" width="12.5703125" style="66" customWidth="1"/>
    <col min="10500" max="10500" width="14" style="66" customWidth="1"/>
    <col min="10501" max="10501" width="19" style="66" customWidth="1"/>
    <col min="10502" max="10752" width="9.140625" style="66"/>
    <col min="10753" max="10753" width="41.85546875" style="66" bestFit="1" customWidth="1"/>
    <col min="10754" max="10754" width="13" style="66" customWidth="1"/>
    <col min="10755" max="10755" width="12.5703125" style="66" customWidth="1"/>
    <col min="10756" max="10756" width="14" style="66" customWidth="1"/>
    <col min="10757" max="10757" width="19" style="66" customWidth="1"/>
    <col min="10758" max="11008" width="9.140625" style="66"/>
    <col min="11009" max="11009" width="41.85546875" style="66" bestFit="1" customWidth="1"/>
    <col min="11010" max="11010" width="13" style="66" customWidth="1"/>
    <col min="11011" max="11011" width="12.5703125" style="66" customWidth="1"/>
    <col min="11012" max="11012" width="14" style="66" customWidth="1"/>
    <col min="11013" max="11013" width="19" style="66" customWidth="1"/>
    <col min="11014" max="11264" width="9.140625" style="66"/>
    <col min="11265" max="11265" width="41.85546875" style="66" bestFit="1" customWidth="1"/>
    <col min="11266" max="11266" width="13" style="66" customWidth="1"/>
    <col min="11267" max="11267" width="12.5703125" style="66" customWidth="1"/>
    <col min="11268" max="11268" width="14" style="66" customWidth="1"/>
    <col min="11269" max="11269" width="19" style="66" customWidth="1"/>
    <col min="11270" max="11520" width="9.140625" style="66"/>
    <col min="11521" max="11521" width="41.85546875" style="66" bestFit="1" customWidth="1"/>
    <col min="11522" max="11522" width="13" style="66" customWidth="1"/>
    <col min="11523" max="11523" width="12.5703125" style="66" customWidth="1"/>
    <col min="11524" max="11524" width="14" style="66" customWidth="1"/>
    <col min="11525" max="11525" width="19" style="66" customWidth="1"/>
    <col min="11526" max="11776" width="9.140625" style="66"/>
    <col min="11777" max="11777" width="41.85546875" style="66" bestFit="1" customWidth="1"/>
    <col min="11778" max="11778" width="13" style="66" customWidth="1"/>
    <col min="11779" max="11779" width="12.5703125" style="66" customWidth="1"/>
    <col min="11780" max="11780" width="14" style="66" customWidth="1"/>
    <col min="11781" max="11781" width="19" style="66" customWidth="1"/>
    <col min="11782" max="12032" width="9.140625" style="66"/>
    <col min="12033" max="12033" width="41.85546875" style="66" bestFit="1" customWidth="1"/>
    <col min="12034" max="12034" width="13" style="66" customWidth="1"/>
    <col min="12035" max="12035" width="12.5703125" style="66" customWidth="1"/>
    <col min="12036" max="12036" width="14" style="66" customWidth="1"/>
    <col min="12037" max="12037" width="19" style="66" customWidth="1"/>
    <col min="12038" max="12288" width="9.140625" style="66"/>
    <col min="12289" max="12289" width="41.85546875" style="66" bestFit="1" customWidth="1"/>
    <col min="12290" max="12290" width="13" style="66" customWidth="1"/>
    <col min="12291" max="12291" width="12.5703125" style="66" customWidth="1"/>
    <col min="12292" max="12292" width="14" style="66" customWidth="1"/>
    <col min="12293" max="12293" width="19" style="66" customWidth="1"/>
    <col min="12294" max="12544" width="9.140625" style="66"/>
    <col min="12545" max="12545" width="41.85546875" style="66" bestFit="1" customWidth="1"/>
    <col min="12546" max="12546" width="13" style="66" customWidth="1"/>
    <col min="12547" max="12547" width="12.5703125" style="66" customWidth="1"/>
    <col min="12548" max="12548" width="14" style="66" customWidth="1"/>
    <col min="12549" max="12549" width="19" style="66" customWidth="1"/>
    <col min="12550" max="12800" width="9.140625" style="66"/>
    <col min="12801" max="12801" width="41.85546875" style="66" bestFit="1" customWidth="1"/>
    <col min="12802" max="12802" width="13" style="66" customWidth="1"/>
    <col min="12803" max="12803" width="12.5703125" style="66" customWidth="1"/>
    <col min="12804" max="12804" width="14" style="66" customWidth="1"/>
    <col min="12805" max="12805" width="19" style="66" customWidth="1"/>
    <col min="12806" max="13056" width="9.140625" style="66"/>
    <col min="13057" max="13057" width="41.85546875" style="66" bestFit="1" customWidth="1"/>
    <col min="13058" max="13058" width="13" style="66" customWidth="1"/>
    <col min="13059" max="13059" width="12.5703125" style="66" customWidth="1"/>
    <col min="13060" max="13060" width="14" style="66" customWidth="1"/>
    <col min="13061" max="13061" width="19" style="66" customWidth="1"/>
    <col min="13062" max="13312" width="9.140625" style="66"/>
    <col min="13313" max="13313" width="41.85546875" style="66" bestFit="1" customWidth="1"/>
    <col min="13314" max="13314" width="13" style="66" customWidth="1"/>
    <col min="13315" max="13315" width="12.5703125" style="66" customWidth="1"/>
    <col min="13316" max="13316" width="14" style="66" customWidth="1"/>
    <col min="13317" max="13317" width="19" style="66" customWidth="1"/>
    <col min="13318" max="13568" width="9.140625" style="66"/>
    <col min="13569" max="13569" width="41.85546875" style="66" bestFit="1" customWidth="1"/>
    <col min="13570" max="13570" width="13" style="66" customWidth="1"/>
    <col min="13571" max="13571" width="12.5703125" style="66" customWidth="1"/>
    <col min="13572" max="13572" width="14" style="66" customWidth="1"/>
    <col min="13573" max="13573" width="19" style="66" customWidth="1"/>
    <col min="13574" max="13824" width="9.140625" style="66"/>
    <col min="13825" max="13825" width="41.85546875" style="66" bestFit="1" customWidth="1"/>
    <col min="13826" max="13826" width="13" style="66" customWidth="1"/>
    <col min="13827" max="13827" width="12.5703125" style="66" customWidth="1"/>
    <col min="13828" max="13828" width="14" style="66" customWidth="1"/>
    <col min="13829" max="13829" width="19" style="66" customWidth="1"/>
    <col min="13830" max="14080" width="9.140625" style="66"/>
    <col min="14081" max="14081" width="41.85546875" style="66" bestFit="1" customWidth="1"/>
    <col min="14082" max="14082" width="13" style="66" customWidth="1"/>
    <col min="14083" max="14083" width="12.5703125" style="66" customWidth="1"/>
    <col min="14084" max="14084" width="14" style="66" customWidth="1"/>
    <col min="14085" max="14085" width="19" style="66" customWidth="1"/>
    <col min="14086" max="14336" width="9.140625" style="66"/>
    <col min="14337" max="14337" width="41.85546875" style="66" bestFit="1" customWidth="1"/>
    <col min="14338" max="14338" width="13" style="66" customWidth="1"/>
    <col min="14339" max="14339" width="12.5703125" style="66" customWidth="1"/>
    <col min="14340" max="14340" width="14" style="66" customWidth="1"/>
    <col min="14341" max="14341" width="19" style="66" customWidth="1"/>
    <col min="14342" max="14592" width="9.140625" style="66"/>
    <col min="14593" max="14593" width="41.85546875" style="66" bestFit="1" customWidth="1"/>
    <col min="14594" max="14594" width="13" style="66" customWidth="1"/>
    <col min="14595" max="14595" width="12.5703125" style="66" customWidth="1"/>
    <col min="14596" max="14596" width="14" style="66" customWidth="1"/>
    <col min="14597" max="14597" width="19" style="66" customWidth="1"/>
    <col min="14598" max="14848" width="9.140625" style="66"/>
    <col min="14849" max="14849" width="41.85546875" style="66" bestFit="1" customWidth="1"/>
    <col min="14850" max="14850" width="13" style="66" customWidth="1"/>
    <col min="14851" max="14851" width="12.5703125" style="66" customWidth="1"/>
    <col min="14852" max="14852" width="14" style="66" customWidth="1"/>
    <col min="14853" max="14853" width="19" style="66" customWidth="1"/>
    <col min="14854" max="15104" width="9.140625" style="66"/>
    <col min="15105" max="15105" width="41.85546875" style="66" bestFit="1" customWidth="1"/>
    <col min="15106" max="15106" width="13" style="66" customWidth="1"/>
    <col min="15107" max="15107" width="12.5703125" style="66" customWidth="1"/>
    <col min="15108" max="15108" width="14" style="66" customWidth="1"/>
    <col min="15109" max="15109" width="19" style="66" customWidth="1"/>
    <col min="15110" max="15360" width="9.140625" style="66"/>
    <col min="15361" max="15361" width="41.85546875" style="66" bestFit="1" customWidth="1"/>
    <col min="15362" max="15362" width="13" style="66" customWidth="1"/>
    <col min="15363" max="15363" width="12.5703125" style="66" customWidth="1"/>
    <col min="15364" max="15364" width="14" style="66" customWidth="1"/>
    <col min="15365" max="15365" width="19" style="66" customWidth="1"/>
    <col min="15366" max="15616" width="9.140625" style="66"/>
    <col min="15617" max="15617" width="41.85546875" style="66" bestFit="1" customWidth="1"/>
    <col min="15618" max="15618" width="13" style="66" customWidth="1"/>
    <col min="15619" max="15619" width="12.5703125" style="66" customWidth="1"/>
    <col min="15620" max="15620" width="14" style="66" customWidth="1"/>
    <col min="15621" max="15621" width="19" style="66" customWidth="1"/>
    <col min="15622" max="15872" width="9.140625" style="66"/>
    <col min="15873" max="15873" width="41.85546875" style="66" bestFit="1" customWidth="1"/>
    <col min="15874" max="15874" width="13" style="66" customWidth="1"/>
    <col min="15875" max="15875" width="12.5703125" style="66" customWidth="1"/>
    <col min="15876" max="15876" width="14" style="66" customWidth="1"/>
    <col min="15877" max="15877" width="19" style="66" customWidth="1"/>
    <col min="15878" max="16128" width="9.140625" style="66"/>
    <col min="16129" max="16129" width="41.85546875" style="66" bestFit="1" customWidth="1"/>
    <col min="16130" max="16130" width="13" style="66" customWidth="1"/>
    <col min="16131" max="16131" width="12.5703125" style="66" customWidth="1"/>
    <col min="16132" max="16132" width="14" style="66" customWidth="1"/>
    <col min="16133" max="16133" width="19" style="66" customWidth="1"/>
    <col min="16134" max="16384" width="9.140625" style="66"/>
  </cols>
  <sheetData>
    <row r="1" spans="1:11" s="75" customFormat="1" ht="15.75">
      <c r="E1" s="182" t="s">
        <v>324</v>
      </c>
    </row>
    <row r="2" spans="1:11" s="75" customFormat="1" ht="15.75">
      <c r="A2" s="793" t="s">
        <v>325</v>
      </c>
      <c r="B2" s="793"/>
      <c r="C2" s="793"/>
      <c r="D2" s="793"/>
      <c r="E2" s="793"/>
    </row>
    <row r="3" spans="1:11" s="75" customFormat="1" ht="15.75">
      <c r="C3" s="122"/>
      <c r="E3" s="123" t="s">
        <v>326</v>
      </c>
    </row>
    <row r="4" spans="1:11" s="75" customFormat="1" ht="15.75">
      <c r="A4" s="794" t="s">
        <v>170</v>
      </c>
      <c r="B4" s="81" t="s">
        <v>327</v>
      </c>
      <c r="C4" s="795" t="s">
        <v>328</v>
      </c>
      <c r="D4" s="795"/>
      <c r="E4" s="795"/>
    </row>
    <row r="5" spans="1:11" s="75" customFormat="1" ht="15.75">
      <c r="A5" s="794"/>
      <c r="B5" s="81" t="s">
        <v>963</v>
      </c>
      <c r="C5" s="589">
        <v>2021</v>
      </c>
      <c r="D5" s="589">
        <v>2022</v>
      </c>
      <c r="E5" s="81" t="s">
        <v>964</v>
      </c>
    </row>
    <row r="6" spans="1:11" s="75" customFormat="1" ht="15.75">
      <c r="A6" s="124" t="s">
        <v>329</v>
      </c>
      <c r="B6" s="125">
        <v>11311</v>
      </c>
      <c r="C6" s="125">
        <v>2499</v>
      </c>
      <c r="D6" s="125">
        <v>2499</v>
      </c>
      <c r="E6" s="124">
        <v>479</v>
      </c>
    </row>
    <row r="7" spans="1:11" s="75" customFormat="1" ht="15.75">
      <c r="A7" s="124" t="s">
        <v>330</v>
      </c>
      <c r="B7" s="125">
        <v>1057</v>
      </c>
      <c r="C7" s="125">
        <v>287</v>
      </c>
      <c r="D7" s="125">
        <v>109</v>
      </c>
      <c r="E7" s="124">
        <v>30</v>
      </c>
    </row>
    <row r="8" spans="1:11" s="75" customFormat="1" ht="15.75">
      <c r="A8" s="124" t="s">
        <v>331</v>
      </c>
      <c r="B8" s="125">
        <v>10</v>
      </c>
      <c r="C8" s="125">
        <v>10</v>
      </c>
      <c r="D8" s="125"/>
      <c r="E8" s="124"/>
    </row>
    <row r="9" spans="1:11" s="75" customFormat="1" ht="15.75">
      <c r="A9" s="126" t="s">
        <v>169</v>
      </c>
      <c r="B9" s="126">
        <f>SUM(B6:B8)</f>
        <v>12378</v>
      </c>
      <c r="C9" s="126">
        <f>SUM(C6:C8)</f>
        <v>2796</v>
      </c>
      <c r="D9" s="126">
        <f>SUM(D6:D8)</f>
        <v>2608</v>
      </c>
      <c r="E9" s="126">
        <f>SUM(E6:E8)</f>
        <v>509</v>
      </c>
    </row>
    <row r="10" spans="1:11" s="75" customFormat="1" ht="15.75">
      <c r="A10" s="60"/>
      <c r="B10" s="60"/>
      <c r="C10" s="60"/>
      <c r="D10" s="60"/>
      <c r="E10" s="60"/>
      <c r="F10" s="60"/>
      <c r="G10" s="60"/>
      <c r="H10" s="60"/>
      <c r="I10" s="60"/>
      <c r="J10" s="60"/>
      <c r="K10" s="60"/>
    </row>
    <row r="11" spans="1:11" s="75" customFormat="1" ht="15.75">
      <c r="A11" s="796" t="s">
        <v>332</v>
      </c>
      <c r="B11" s="796"/>
      <c r="C11" s="796"/>
      <c r="D11" s="796"/>
      <c r="E11" s="60"/>
      <c r="F11" s="60"/>
      <c r="H11" s="60"/>
      <c r="I11" s="60"/>
      <c r="J11" s="60"/>
      <c r="K11" s="60"/>
    </row>
    <row r="12" spans="1:11" s="75" customFormat="1" ht="15.75">
      <c r="A12" s="60"/>
      <c r="B12" s="60"/>
      <c r="C12" s="60"/>
      <c r="D12" s="127" t="s">
        <v>119</v>
      </c>
      <c r="E12" s="60"/>
      <c r="F12" s="60"/>
      <c r="G12" s="60"/>
      <c r="H12" s="60"/>
      <c r="I12" s="60"/>
      <c r="J12" s="60"/>
      <c r="K12" s="60"/>
    </row>
    <row r="13" spans="1:11" s="75" customFormat="1" ht="15.75">
      <c r="A13" s="74" t="s">
        <v>333</v>
      </c>
      <c r="B13" s="74" t="s">
        <v>334</v>
      </c>
      <c r="C13" s="788" t="s">
        <v>967</v>
      </c>
      <c r="D13" s="788"/>
      <c r="E13" s="60"/>
      <c r="F13" s="60"/>
      <c r="G13" s="60"/>
      <c r="H13" s="60"/>
      <c r="I13" s="60"/>
      <c r="J13" s="60"/>
      <c r="K13" s="60"/>
    </row>
    <row r="14" spans="1:11" s="75" customFormat="1" ht="15.75">
      <c r="A14" s="64"/>
      <c r="B14" s="64">
        <v>0</v>
      </c>
      <c r="C14" s="797">
        <v>0</v>
      </c>
      <c r="D14" s="797"/>
      <c r="E14" s="60"/>
      <c r="F14" s="60"/>
      <c r="G14" s="60"/>
      <c r="H14" s="60"/>
      <c r="I14" s="60"/>
      <c r="J14" s="60"/>
      <c r="K14" s="60"/>
    </row>
    <row r="15" spans="1:11" s="75" customFormat="1" ht="15.75">
      <c r="A15" s="53" t="s">
        <v>122</v>
      </c>
      <c r="B15" s="53">
        <f>SUM(B14:B14)</f>
        <v>0</v>
      </c>
      <c r="C15" s="788">
        <f>SUM(C14:C14)</f>
        <v>0</v>
      </c>
      <c r="D15" s="788"/>
      <c r="E15" s="60"/>
      <c r="F15" s="60"/>
      <c r="G15" s="60"/>
      <c r="H15" s="60"/>
      <c r="I15" s="60"/>
      <c r="J15" s="60"/>
      <c r="K15" s="60"/>
    </row>
  </sheetData>
  <mergeCells count="7">
    <mergeCell ref="C15:D15"/>
    <mergeCell ref="A2:E2"/>
    <mergeCell ref="A4:A5"/>
    <mergeCell ref="C4:E4"/>
    <mergeCell ref="A11:D11"/>
    <mergeCell ref="C13:D13"/>
    <mergeCell ref="C14:D1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K45"/>
  <sheetViews>
    <sheetView view="pageBreakPreview" topLeftCell="A16" zoomScaleNormal="100" zoomScaleSheetLayoutView="100" workbookViewId="0">
      <selection activeCell="D43" sqref="D43:F43"/>
    </sheetView>
  </sheetViews>
  <sheetFormatPr defaultRowHeight="12"/>
  <cols>
    <col min="1" max="1" width="46.85546875" style="584" bestFit="1" customWidth="1"/>
    <col min="2" max="2" width="9.140625" style="585"/>
    <col min="3" max="3" width="26.5703125" style="585" customWidth="1"/>
    <col min="4" max="4" width="11.140625" style="586" customWidth="1"/>
    <col min="5" max="5" width="25.140625" style="586" customWidth="1"/>
    <col min="6" max="6" width="24.85546875" style="585" customWidth="1"/>
    <col min="7" max="8" width="9.140625" style="585"/>
    <col min="9" max="9" width="48" style="585" customWidth="1"/>
    <col min="10" max="16384" width="9.140625" style="585"/>
  </cols>
  <sheetData>
    <row r="1" spans="1:11" s="75" customFormat="1" ht="15.75">
      <c r="A1" s="85"/>
      <c r="B1" s="358"/>
      <c r="C1" s="358"/>
      <c r="D1" s="581"/>
      <c r="E1" s="581"/>
      <c r="F1" s="358"/>
      <c r="G1" s="787" t="s">
        <v>229</v>
      </c>
      <c r="H1" s="787"/>
      <c r="I1" s="358"/>
      <c r="J1" s="358"/>
      <c r="K1" s="358"/>
    </row>
    <row r="2" spans="1:11" s="75" customFormat="1" ht="15.75">
      <c r="A2" s="796" t="s">
        <v>230</v>
      </c>
      <c r="B2" s="796"/>
      <c r="C2" s="796"/>
      <c r="D2" s="796"/>
      <c r="E2" s="796"/>
      <c r="F2" s="796"/>
      <c r="G2" s="76"/>
      <c r="H2" s="358"/>
      <c r="I2" s="358"/>
      <c r="J2" s="358"/>
      <c r="K2" s="358"/>
    </row>
    <row r="3" spans="1:11" s="75" customFormat="1" ht="15.75">
      <c r="A3" s="796" t="s">
        <v>231</v>
      </c>
      <c r="B3" s="796"/>
      <c r="C3" s="796"/>
      <c r="D3" s="796"/>
      <c r="E3" s="796"/>
      <c r="F3" s="796"/>
      <c r="G3" s="358"/>
      <c r="H3" s="358"/>
      <c r="I3" s="358"/>
      <c r="J3" s="358"/>
      <c r="K3" s="358"/>
    </row>
    <row r="4" spans="1:11" s="75" customFormat="1" ht="15.75">
      <c r="A4" s="85"/>
      <c r="B4" s="358"/>
      <c r="C4" s="358"/>
      <c r="D4" s="581"/>
      <c r="E4" s="581"/>
      <c r="F4" s="358"/>
      <c r="G4" s="77"/>
      <c r="H4" s="358"/>
      <c r="I4" s="358"/>
      <c r="J4" s="358"/>
      <c r="K4" s="358"/>
    </row>
    <row r="5" spans="1:11" s="75" customFormat="1" ht="15.75">
      <c r="A5" s="85"/>
      <c r="B5" s="358"/>
      <c r="C5" s="358"/>
      <c r="D5" s="581"/>
      <c r="E5" s="581"/>
      <c r="F5" s="358"/>
      <c r="G5" s="77"/>
      <c r="H5" s="358"/>
      <c r="I5" s="358"/>
      <c r="J5" s="358"/>
      <c r="K5" s="358"/>
    </row>
    <row r="6" spans="1:11" s="577" customFormat="1" ht="15.75">
      <c r="A6" s="578" t="s">
        <v>1007</v>
      </c>
      <c r="B6" s="805" t="s">
        <v>232</v>
      </c>
      <c r="C6" s="806"/>
      <c r="D6" s="576" t="s">
        <v>233</v>
      </c>
      <c r="E6" s="576" t="s">
        <v>234</v>
      </c>
      <c r="F6" s="133" t="s">
        <v>235</v>
      </c>
      <c r="G6" s="583"/>
      <c r="H6" s="575"/>
      <c r="I6" s="575"/>
      <c r="J6" s="575"/>
      <c r="K6" s="575"/>
    </row>
    <row r="7" spans="1:11" s="75" customFormat="1" ht="15.75">
      <c r="A7" s="807" t="s">
        <v>416</v>
      </c>
      <c r="B7" s="797" t="s">
        <v>237</v>
      </c>
      <c r="C7" s="797"/>
      <c r="D7" s="579">
        <v>21</v>
      </c>
      <c r="E7" s="579" t="s">
        <v>238</v>
      </c>
      <c r="F7" s="79">
        <v>105</v>
      </c>
      <c r="G7" s="580"/>
      <c r="H7" s="358"/>
      <c r="I7" s="358"/>
      <c r="J7" s="358"/>
      <c r="K7" s="358"/>
    </row>
    <row r="8" spans="1:11" s="75" customFormat="1" ht="15.75">
      <c r="A8" s="808"/>
      <c r="B8" s="802" t="s">
        <v>968</v>
      </c>
      <c r="C8" s="803"/>
      <c r="D8" s="579">
        <v>15</v>
      </c>
      <c r="E8" s="579" t="s">
        <v>236</v>
      </c>
      <c r="F8" s="79">
        <v>322</v>
      </c>
      <c r="G8" s="358"/>
      <c r="H8" s="358"/>
      <c r="I8" s="358"/>
      <c r="J8" s="358"/>
      <c r="K8" s="358"/>
    </row>
    <row r="9" spans="1:11" s="75" customFormat="1" ht="15.75">
      <c r="A9" s="79" t="s">
        <v>969</v>
      </c>
      <c r="B9" s="797" t="s">
        <v>239</v>
      </c>
      <c r="C9" s="797"/>
      <c r="D9" s="579">
        <v>301.3</v>
      </c>
      <c r="E9" s="579" t="s">
        <v>240</v>
      </c>
      <c r="F9" s="79">
        <v>500</v>
      </c>
      <c r="G9" s="358"/>
      <c r="H9" s="358"/>
      <c r="I9" s="358"/>
      <c r="J9" s="358"/>
      <c r="K9" s="358"/>
    </row>
    <row r="10" spans="1:11" s="75" customFormat="1" ht="15.75">
      <c r="A10" s="79" t="s">
        <v>970</v>
      </c>
      <c r="B10" s="809" t="s">
        <v>971</v>
      </c>
      <c r="C10" s="810"/>
      <c r="D10" s="579">
        <v>64</v>
      </c>
      <c r="E10" s="579" t="s">
        <v>241</v>
      </c>
      <c r="F10" s="79">
        <v>360</v>
      </c>
      <c r="G10" s="358"/>
      <c r="H10" s="358"/>
      <c r="I10" s="358"/>
      <c r="J10" s="358"/>
      <c r="K10" s="358"/>
    </row>
    <row r="11" spans="1:11" s="75" customFormat="1" ht="15.75">
      <c r="A11" s="79" t="s">
        <v>972</v>
      </c>
      <c r="B11" s="797" t="s">
        <v>973</v>
      </c>
      <c r="C11" s="797"/>
      <c r="D11" s="579">
        <v>42</v>
      </c>
      <c r="E11" s="579" t="s">
        <v>241</v>
      </c>
      <c r="F11" s="79">
        <v>210</v>
      </c>
      <c r="H11" s="358"/>
      <c r="I11" s="358"/>
      <c r="J11" s="358"/>
      <c r="K11" s="358"/>
    </row>
    <row r="12" spans="1:11" s="75" customFormat="1" ht="15.75">
      <c r="A12" s="79" t="s">
        <v>242</v>
      </c>
      <c r="B12" s="797" t="s">
        <v>243</v>
      </c>
      <c r="C12" s="797"/>
      <c r="D12" s="579" t="s">
        <v>244</v>
      </c>
      <c r="E12" s="579" t="s">
        <v>245</v>
      </c>
      <c r="F12" s="79">
        <v>300</v>
      </c>
      <c r="H12" s="358"/>
      <c r="I12" s="358"/>
      <c r="J12" s="358"/>
      <c r="K12" s="358"/>
    </row>
    <row r="13" spans="1:11" s="75" customFormat="1" ht="15.75">
      <c r="A13" s="79" t="s">
        <v>246</v>
      </c>
      <c r="B13" s="797" t="s">
        <v>247</v>
      </c>
      <c r="C13" s="797"/>
      <c r="D13" s="579">
        <v>80</v>
      </c>
      <c r="E13" s="579" t="s">
        <v>241</v>
      </c>
      <c r="F13" s="78">
        <v>300</v>
      </c>
      <c r="H13" s="358"/>
      <c r="I13" s="358"/>
      <c r="J13" s="358"/>
      <c r="K13" s="358"/>
    </row>
    <row r="14" spans="1:11" s="75" customFormat="1" ht="15.75">
      <c r="A14" s="79" t="s">
        <v>974</v>
      </c>
      <c r="B14" s="797" t="s">
        <v>249</v>
      </c>
      <c r="C14" s="797"/>
      <c r="D14" s="579">
        <v>180</v>
      </c>
      <c r="E14" s="579" t="s">
        <v>250</v>
      </c>
      <c r="F14" s="79">
        <v>350</v>
      </c>
      <c r="G14" s="800" t="s">
        <v>248</v>
      </c>
      <c r="H14" s="801"/>
      <c r="I14" s="801"/>
      <c r="J14" s="358"/>
      <c r="K14" s="358"/>
    </row>
    <row r="15" spans="1:11" s="75" customFormat="1" ht="31.5">
      <c r="A15" s="65" t="s">
        <v>360</v>
      </c>
      <c r="B15" s="797" t="s">
        <v>247</v>
      </c>
      <c r="C15" s="797"/>
      <c r="D15" s="579">
        <v>142.5</v>
      </c>
      <c r="E15" s="579" t="s">
        <v>975</v>
      </c>
      <c r="F15" s="79">
        <v>536</v>
      </c>
      <c r="G15" s="800" t="s">
        <v>1006</v>
      </c>
      <c r="H15" s="801"/>
      <c r="I15" s="801"/>
      <c r="J15" s="358"/>
      <c r="K15" s="358"/>
    </row>
    <row r="16" spans="1:11" s="75" customFormat="1" ht="15.75">
      <c r="A16" s="79" t="s">
        <v>252</v>
      </c>
      <c r="B16" s="797" t="s">
        <v>253</v>
      </c>
      <c r="C16" s="797"/>
      <c r="D16" s="579">
        <v>42</v>
      </c>
      <c r="E16" s="579" t="s">
        <v>241</v>
      </c>
      <c r="F16" s="79">
        <v>210</v>
      </c>
      <c r="G16" s="800" t="s">
        <v>1004</v>
      </c>
      <c r="H16" s="801"/>
      <c r="I16" s="801"/>
      <c r="J16" s="358"/>
      <c r="K16" s="358"/>
    </row>
    <row r="17" spans="1:11" s="75" customFormat="1" ht="15.75">
      <c r="A17" s="79" t="s">
        <v>254</v>
      </c>
      <c r="B17" s="797" t="s">
        <v>255</v>
      </c>
      <c r="C17" s="797"/>
      <c r="D17" s="579">
        <v>27</v>
      </c>
      <c r="E17" s="579" t="s">
        <v>236</v>
      </c>
      <c r="F17" s="79">
        <v>200</v>
      </c>
      <c r="G17" s="798" t="s">
        <v>1005</v>
      </c>
      <c r="H17" s="799"/>
      <c r="I17" s="799"/>
      <c r="J17" s="358"/>
      <c r="K17" s="358"/>
    </row>
    <row r="18" spans="1:11" s="75" customFormat="1" ht="15.75">
      <c r="A18" s="79" t="s">
        <v>256</v>
      </c>
      <c r="B18" s="797" t="s">
        <v>257</v>
      </c>
      <c r="C18" s="797"/>
      <c r="D18" s="579">
        <v>4230</v>
      </c>
      <c r="E18" s="579" t="s">
        <v>258</v>
      </c>
      <c r="F18" s="79">
        <v>300</v>
      </c>
      <c r="G18" s="798" t="s">
        <v>251</v>
      </c>
      <c r="H18" s="804"/>
      <c r="I18" s="804"/>
      <c r="J18" s="358"/>
      <c r="K18" s="358"/>
    </row>
    <row r="19" spans="1:11" s="75" customFormat="1" ht="15.75">
      <c r="A19" s="79" t="s">
        <v>976</v>
      </c>
      <c r="B19" s="797" t="s">
        <v>259</v>
      </c>
      <c r="C19" s="797"/>
      <c r="D19" s="579">
        <v>648</v>
      </c>
      <c r="E19" s="579" t="s">
        <v>260</v>
      </c>
      <c r="F19" s="79">
        <v>150</v>
      </c>
      <c r="H19" s="358"/>
      <c r="I19" s="358"/>
      <c r="J19" s="358"/>
      <c r="K19" s="358"/>
    </row>
    <row r="20" spans="1:11" s="75" customFormat="1" ht="15.75">
      <c r="A20" s="79" t="s">
        <v>261</v>
      </c>
      <c r="B20" s="797" t="s">
        <v>262</v>
      </c>
      <c r="C20" s="797"/>
      <c r="D20" s="579">
        <v>6921</v>
      </c>
      <c r="E20" s="579" t="s">
        <v>263</v>
      </c>
      <c r="F20" s="79">
        <v>300</v>
      </c>
      <c r="H20" s="358"/>
      <c r="I20" s="358"/>
      <c r="J20" s="358"/>
      <c r="K20" s="358"/>
    </row>
    <row r="21" spans="1:11" s="75" customFormat="1" ht="15.75">
      <c r="A21" s="79" t="s">
        <v>977</v>
      </c>
      <c r="B21" s="797" t="s">
        <v>264</v>
      </c>
      <c r="C21" s="797"/>
      <c r="D21" s="579">
        <v>5809</v>
      </c>
      <c r="E21" s="579" t="s">
        <v>265</v>
      </c>
      <c r="F21" s="79">
        <v>1200</v>
      </c>
      <c r="G21" s="77"/>
      <c r="H21" s="358"/>
      <c r="I21" s="358"/>
      <c r="J21" s="358"/>
      <c r="K21" s="358"/>
    </row>
    <row r="22" spans="1:11" s="75" customFormat="1" ht="15.75">
      <c r="A22" s="79" t="s">
        <v>266</v>
      </c>
      <c r="B22" s="797" t="s">
        <v>267</v>
      </c>
      <c r="C22" s="797"/>
      <c r="D22" s="579">
        <v>200</v>
      </c>
      <c r="E22" s="579" t="s">
        <v>241</v>
      </c>
      <c r="F22" s="79">
        <v>300</v>
      </c>
      <c r="G22" s="77"/>
      <c r="H22" s="358"/>
      <c r="I22" s="358"/>
      <c r="J22" s="358"/>
      <c r="K22" s="358"/>
    </row>
    <row r="23" spans="1:11" s="75" customFormat="1" ht="15.75">
      <c r="A23" s="79" t="s">
        <v>268</v>
      </c>
      <c r="B23" s="797" t="s">
        <v>269</v>
      </c>
      <c r="C23" s="797"/>
      <c r="D23" s="579">
        <v>103</v>
      </c>
      <c r="E23" s="579" t="s">
        <v>241</v>
      </c>
      <c r="F23" s="79">
        <v>1400</v>
      </c>
      <c r="G23" s="77"/>
      <c r="H23" s="358"/>
      <c r="I23" s="358"/>
      <c r="J23" s="358"/>
      <c r="K23" s="358"/>
    </row>
    <row r="24" spans="1:11" s="75" customFormat="1" ht="15.75">
      <c r="A24" s="79" t="s">
        <v>270</v>
      </c>
      <c r="B24" s="797" t="s">
        <v>271</v>
      </c>
      <c r="C24" s="797"/>
      <c r="D24" s="579" t="s">
        <v>978</v>
      </c>
      <c r="E24" s="579" t="s">
        <v>241</v>
      </c>
      <c r="F24" s="79">
        <v>614</v>
      </c>
      <c r="G24" s="77"/>
      <c r="H24" s="358"/>
      <c r="I24" s="358"/>
      <c r="J24" s="358"/>
      <c r="K24" s="358"/>
    </row>
    <row r="25" spans="1:11" s="75" customFormat="1" ht="15.75">
      <c r="A25" s="79" t="s">
        <v>272</v>
      </c>
      <c r="B25" s="797" t="s">
        <v>979</v>
      </c>
      <c r="C25" s="797"/>
      <c r="D25" s="579">
        <v>30</v>
      </c>
      <c r="E25" s="579" t="s">
        <v>236</v>
      </c>
      <c r="F25" s="79">
        <v>190</v>
      </c>
      <c r="G25" s="77"/>
      <c r="H25" s="358"/>
      <c r="I25" s="358"/>
      <c r="J25" s="358"/>
      <c r="K25" s="358"/>
    </row>
    <row r="26" spans="1:11" s="75" customFormat="1" ht="15.75">
      <c r="A26" s="79" t="s">
        <v>980</v>
      </c>
      <c r="B26" s="797" t="s">
        <v>273</v>
      </c>
      <c r="C26" s="797"/>
      <c r="D26" s="579">
        <v>693</v>
      </c>
      <c r="E26" s="579" t="s">
        <v>236</v>
      </c>
      <c r="F26" s="79">
        <v>832</v>
      </c>
      <c r="G26" s="77"/>
      <c r="H26" s="358"/>
      <c r="I26" s="358"/>
      <c r="J26" s="358"/>
      <c r="K26" s="358"/>
    </row>
    <row r="27" spans="1:11" s="75" customFormat="1" ht="15.75">
      <c r="A27" s="79" t="s">
        <v>981</v>
      </c>
      <c r="B27" s="802" t="s">
        <v>982</v>
      </c>
      <c r="C27" s="803"/>
      <c r="D27" s="579">
        <v>52</v>
      </c>
      <c r="E27" s="579" t="s">
        <v>442</v>
      </c>
      <c r="F27" s="79">
        <v>1548</v>
      </c>
      <c r="G27" s="77"/>
      <c r="H27" s="358"/>
      <c r="I27" s="358"/>
      <c r="J27" s="358"/>
      <c r="K27" s="358"/>
    </row>
    <row r="28" spans="1:11" s="75" customFormat="1" ht="15.75">
      <c r="A28" s="79" t="s">
        <v>1008</v>
      </c>
      <c r="B28" s="802" t="s">
        <v>441</v>
      </c>
      <c r="C28" s="803"/>
      <c r="D28" s="579">
        <v>53</v>
      </c>
      <c r="E28" s="579" t="s">
        <v>258</v>
      </c>
      <c r="F28" s="79">
        <v>1080</v>
      </c>
      <c r="G28" s="77"/>
      <c r="H28" s="358"/>
      <c r="I28" s="358"/>
      <c r="J28" s="358"/>
      <c r="K28" s="358"/>
    </row>
    <row r="29" spans="1:11" s="75" customFormat="1" ht="15.75">
      <c r="A29" s="79" t="s">
        <v>983</v>
      </c>
      <c r="B29" s="802" t="s">
        <v>239</v>
      </c>
      <c r="C29" s="803"/>
      <c r="D29" s="579">
        <v>900</v>
      </c>
      <c r="E29" s="579" t="s">
        <v>417</v>
      </c>
      <c r="F29" s="79">
        <v>1080</v>
      </c>
      <c r="G29" s="77"/>
      <c r="H29" s="358"/>
      <c r="I29" s="358"/>
      <c r="J29" s="358"/>
      <c r="K29" s="358"/>
    </row>
    <row r="30" spans="1:11" s="75" customFormat="1" ht="15.75">
      <c r="A30" s="79" t="s">
        <v>984</v>
      </c>
      <c r="B30" s="802" t="s">
        <v>441</v>
      </c>
      <c r="C30" s="803"/>
      <c r="D30" s="579">
        <v>36</v>
      </c>
      <c r="E30" s="579" t="s">
        <v>241</v>
      </c>
      <c r="F30" s="79">
        <v>760</v>
      </c>
      <c r="G30" s="77"/>
      <c r="H30" s="358"/>
      <c r="I30" s="358"/>
      <c r="J30" s="358"/>
      <c r="K30" s="358"/>
    </row>
    <row r="31" spans="1:11" s="75" customFormat="1" ht="15.75">
      <c r="A31" s="79" t="s">
        <v>985</v>
      </c>
      <c r="B31" s="802" t="s">
        <v>986</v>
      </c>
      <c r="C31" s="803"/>
      <c r="D31" s="579">
        <v>304</v>
      </c>
      <c r="E31" s="579" t="s">
        <v>987</v>
      </c>
      <c r="F31" s="79">
        <v>2400</v>
      </c>
      <c r="G31" s="77"/>
      <c r="H31" s="358"/>
      <c r="I31" s="358"/>
      <c r="J31" s="358"/>
      <c r="K31" s="358"/>
    </row>
    <row r="32" spans="1:11" s="75" customFormat="1" ht="15.75">
      <c r="A32" s="79" t="s">
        <v>988</v>
      </c>
      <c r="B32" s="802" t="s">
        <v>989</v>
      </c>
      <c r="C32" s="803"/>
      <c r="D32" s="579">
        <v>82</v>
      </c>
      <c r="E32" s="579" t="s">
        <v>990</v>
      </c>
      <c r="F32" s="79">
        <v>1180</v>
      </c>
      <c r="G32" s="77"/>
      <c r="H32" s="358"/>
      <c r="I32" s="358"/>
      <c r="J32" s="358"/>
      <c r="K32" s="358"/>
    </row>
    <row r="33" spans="1:11" s="75" customFormat="1" ht="15.75">
      <c r="A33" s="79" t="s">
        <v>991</v>
      </c>
      <c r="B33" s="802" t="s">
        <v>992</v>
      </c>
      <c r="C33" s="803"/>
      <c r="D33" s="579">
        <v>41</v>
      </c>
      <c r="E33" s="579" t="s">
        <v>236</v>
      </c>
      <c r="F33" s="79">
        <v>781</v>
      </c>
      <c r="G33" s="77"/>
      <c r="H33" s="358"/>
      <c r="I33" s="358"/>
      <c r="J33" s="358"/>
      <c r="K33" s="358"/>
    </row>
    <row r="34" spans="1:11" s="75" customFormat="1" ht="15.75">
      <c r="A34" s="79" t="s">
        <v>993</v>
      </c>
      <c r="B34" s="802" t="s">
        <v>994</v>
      </c>
      <c r="C34" s="803"/>
      <c r="D34" s="579" t="s">
        <v>995</v>
      </c>
      <c r="E34" s="579" t="s">
        <v>996</v>
      </c>
      <c r="F34" s="79">
        <v>500</v>
      </c>
      <c r="G34" s="77"/>
      <c r="H34" s="358"/>
      <c r="I34" s="358"/>
      <c r="J34" s="358"/>
      <c r="K34" s="358"/>
    </row>
    <row r="35" spans="1:11" s="75" customFormat="1" ht="15.75">
      <c r="A35" s="79" t="s">
        <v>997</v>
      </c>
      <c r="B35" s="802" t="s">
        <v>998</v>
      </c>
      <c r="C35" s="803"/>
      <c r="D35" s="579" t="s">
        <v>999</v>
      </c>
      <c r="E35" s="579" t="s">
        <v>1000</v>
      </c>
      <c r="F35" s="79">
        <v>500</v>
      </c>
      <c r="G35" s="77"/>
      <c r="H35" s="358"/>
      <c r="I35" s="358"/>
      <c r="J35" s="358"/>
      <c r="K35" s="358"/>
    </row>
    <row r="36" spans="1:11" s="75" customFormat="1" ht="15.75">
      <c r="A36" s="79" t="s">
        <v>1001</v>
      </c>
      <c r="B36" s="802" t="s">
        <v>1002</v>
      </c>
      <c r="C36" s="803"/>
      <c r="D36" s="579" t="s">
        <v>1003</v>
      </c>
      <c r="E36" s="579" t="s">
        <v>1000</v>
      </c>
      <c r="F36" s="79">
        <v>500</v>
      </c>
      <c r="G36" s="77"/>
      <c r="H36" s="358"/>
      <c r="I36" s="358"/>
      <c r="J36" s="358"/>
      <c r="K36" s="358"/>
    </row>
    <row r="37" spans="1:11" s="75" customFormat="1" ht="15.75">
      <c r="A37" s="53" t="s">
        <v>169</v>
      </c>
      <c r="B37" s="788"/>
      <c r="C37" s="788"/>
      <c r="D37" s="576"/>
      <c r="E37" s="576"/>
      <c r="F37" s="53">
        <f>SUM(F7:F36)</f>
        <v>19008</v>
      </c>
      <c r="G37" s="77"/>
      <c r="H37" s="358"/>
      <c r="I37" s="358"/>
      <c r="J37" s="358"/>
      <c r="K37" s="358"/>
    </row>
    <row r="38" spans="1:11" s="75" customFormat="1" ht="15.75">
      <c r="A38" s="788" t="s">
        <v>274</v>
      </c>
      <c r="B38" s="788"/>
      <c r="C38" s="788"/>
      <c r="D38" s="788"/>
      <c r="E38" s="788"/>
      <c r="F38" s="788"/>
      <c r="G38" s="358"/>
      <c r="H38" s="358"/>
      <c r="I38" s="358"/>
      <c r="J38" s="358"/>
      <c r="K38" s="358"/>
    </row>
    <row r="39" spans="1:11" s="75" customFormat="1" ht="15.75">
      <c r="A39" s="788" t="s">
        <v>275</v>
      </c>
      <c r="B39" s="788"/>
      <c r="C39" s="788"/>
      <c r="D39" s="788" t="s">
        <v>276</v>
      </c>
      <c r="E39" s="788"/>
      <c r="F39" s="788"/>
      <c r="G39" s="358"/>
      <c r="H39" s="358"/>
      <c r="I39" s="358"/>
      <c r="J39" s="358"/>
      <c r="K39" s="358"/>
    </row>
    <row r="40" spans="1:11" s="75" customFormat="1" ht="15.75">
      <c r="A40" s="802" t="s">
        <v>277</v>
      </c>
      <c r="B40" s="811"/>
      <c r="C40" s="803"/>
      <c r="D40" s="823">
        <v>11741</v>
      </c>
      <c r="E40" s="824"/>
      <c r="F40" s="825"/>
      <c r="G40" s="826" t="s">
        <v>278</v>
      </c>
      <c r="H40" s="826"/>
      <c r="I40" s="826"/>
      <c r="J40" s="826"/>
      <c r="K40" s="358"/>
    </row>
    <row r="41" spans="1:11" s="75" customFormat="1" ht="15.75" hidden="1">
      <c r="A41" s="802" t="s">
        <v>279</v>
      </c>
      <c r="B41" s="811"/>
      <c r="C41" s="803"/>
      <c r="D41" s="823"/>
      <c r="E41" s="824"/>
      <c r="F41" s="825"/>
      <c r="G41" s="801"/>
      <c r="H41" s="815"/>
      <c r="I41" s="358"/>
      <c r="J41" s="358"/>
      <c r="K41" s="358"/>
    </row>
    <row r="42" spans="1:11" s="75" customFormat="1" ht="15.75" hidden="1">
      <c r="A42" s="802" t="s">
        <v>280</v>
      </c>
      <c r="B42" s="811"/>
      <c r="C42" s="803"/>
      <c r="D42" s="812"/>
      <c r="E42" s="813"/>
      <c r="F42" s="814"/>
      <c r="G42" s="801" t="s">
        <v>281</v>
      </c>
      <c r="H42" s="815"/>
      <c r="I42" s="358"/>
      <c r="J42" s="358"/>
      <c r="K42" s="358"/>
    </row>
    <row r="43" spans="1:11" s="75" customFormat="1" ht="15.75">
      <c r="A43" s="816" t="s">
        <v>282</v>
      </c>
      <c r="B43" s="817"/>
      <c r="C43" s="818"/>
      <c r="D43" s="819">
        <v>100905</v>
      </c>
      <c r="E43" s="820"/>
      <c r="F43" s="821"/>
      <c r="G43" s="822" t="s">
        <v>1009</v>
      </c>
      <c r="H43" s="822"/>
      <c r="I43" s="822"/>
      <c r="J43" s="822"/>
      <c r="K43" s="80"/>
    </row>
    <row r="44" spans="1:11" s="75" customFormat="1" ht="15.75">
      <c r="A44" s="788" t="s">
        <v>169</v>
      </c>
      <c r="B44" s="788"/>
      <c r="C44" s="788"/>
      <c r="D44" s="795">
        <f>SUM(D40:D43)</f>
        <v>112646</v>
      </c>
      <c r="E44" s="795"/>
      <c r="F44" s="795"/>
      <c r="G44" s="804" t="s">
        <v>1010</v>
      </c>
      <c r="H44" s="804"/>
      <c r="I44" s="804"/>
      <c r="J44" s="804"/>
    </row>
    <row r="45" spans="1:11" s="75" customFormat="1" ht="15.75">
      <c r="A45" s="82"/>
      <c r="D45" s="582"/>
      <c r="E45" s="582"/>
    </row>
  </sheetData>
  <mergeCells count="59">
    <mergeCell ref="A41:C41"/>
    <mergeCell ref="D41:F41"/>
    <mergeCell ref="G41:H41"/>
    <mergeCell ref="A38:F38"/>
    <mergeCell ref="A39:C39"/>
    <mergeCell ref="D39:F39"/>
    <mergeCell ref="A40:C40"/>
    <mergeCell ref="D40:F40"/>
    <mergeCell ref="G40:J40"/>
    <mergeCell ref="A44:C44"/>
    <mergeCell ref="D44:F44"/>
    <mergeCell ref="G44:J44"/>
    <mergeCell ref="A42:C42"/>
    <mergeCell ref="D42:F42"/>
    <mergeCell ref="G42:H42"/>
    <mergeCell ref="A43:C43"/>
    <mergeCell ref="D43:F43"/>
    <mergeCell ref="G43:J43"/>
    <mergeCell ref="B28:C28"/>
    <mergeCell ref="B29:C29"/>
    <mergeCell ref="B30:C30"/>
    <mergeCell ref="B36:C36"/>
    <mergeCell ref="B31:C31"/>
    <mergeCell ref="B32:C32"/>
    <mergeCell ref="B33:C33"/>
    <mergeCell ref="B34:C34"/>
    <mergeCell ref="B35:C35"/>
    <mergeCell ref="B37:C37"/>
    <mergeCell ref="G1:H1"/>
    <mergeCell ref="A2:F2"/>
    <mergeCell ref="A3:F3"/>
    <mergeCell ref="B7:C7"/>
    <mergeCell ref="B6:C6"/>
    <mergeCell ref="B9:C9"/>
    <mergeCell ref="A7:A8"/>
    <mergeCell ref="B25:C25"/>
    <mergeCell ref="B26:C26"/>
    <mergeCell ref="B8:C8"/>
    <mergeCell ref="B10:C10"/>
    <mergeCell ref="B11:C11"/>
    <mergeCell ref="B12:C12"/>
    <mergeCell ref="B13:C13"/>
    <mergeCell ref="B14:C14"/>
    <mergeCell ref="G17:I17"/>
    <mergeCell ref="G15:I15"/>
    <mergeCell ref="G14:I14"/>
    <mergeCell ref="G16:I16"/>
    <mergeCell ref="B27:C27"/>
    <mergeCell ref="G18:I18"/>
    <mergeCell ref="B18:C18"/>
    <mergeCell ref="B19:C19"/>
    <mergeCell ref="B20:C20"/>
    <mergeCell ref="B21:C21"/>
    <mergeCell ref="B24:C24"/>
    <mergeCell ref="B15:C15"/>
    <mergeCell ref="B16:C16"/>
    <mergeCell ref="B17:C17"/>
    <mergeCell ref="B22:C22"/>
    <mergeCell ref="B23:C23"/>
  </mergeCells>
  <printOptions horizontalCentered="1" verticalCentered="1"/>
  <pageMargins left="0.11811023622047245" right="0.11811023622047245" top="0.15748031496062992" bottom="0.15748031496062992" header="0.11811023622047245" footer="0.11811023622047245"/>
  <pageSetup paperSize="9" scale="73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M20"/>
  <sheetViews>
    <sheetView view="pageBreakPreview" zoomScaleNormal="100" zoomScaleSheetLayoutView="100" workbookViewId="0">
      <selection activeCell="B17" sqref="B17"/>
    </sheetView>
  </sheetViews>
  <sheetFormatPr defaultRowHeight="15.75"/>
  <cols>
    <col min="1" max="1" width="4.85546875" style="75" bestFit="1" customWidth="1"/>
    <col min="2" max="2" width="82.28515625" style="82" customWidth="1"/>
    <col min="3" max="3" width="11.85546875" style="83" customWidth="1"/>
    <col min="4" max="5" width="10.7109375" style="75" customWidth="1"/>
    <col min="6" max="6" width="12.140625" style="75" bestFit="1" customWidth="1"/>
    <col min="7" max="7" width="24.7109375" style="84" customWidth="1"/>
    <col min="8" max="16384" width="9.140625" style="75"/>
  </cols>
  <sheetData>
    <row r="1" spans="1:13">
      <c r="D1" s="827" t="s">
        <v>965</v>
      </c>
      <c r="E1" s="827"/>
      <c r="F1" s="827"/>
    </row>
    <row r="2" spans="1:13">
      <c r="A2" s="796" t="s">
        <v>283</v>
      </c>
      <c r="B2" s="796"/>
      <c r="C2" s="796"/>
      <c r="D2" s="796"/>
      <c r="E2" s="796"/>
      <c r="F2" s="796"/>
      <c r="G2" s="86"/>
      <c r="H2" s="60"/>
    </row>
    <row r="3" spans="1:13">
      <c r="A3" s="211"/>
      <c r="B3" s="211"/>
      <c r="C3" s="211"/>
      <c r="D3" s="211"/>
      <c r="E3" s="429"/>
      <c r="F3" s="211"/>
      <c r="G3" s="86"/>
      <c r="H3" s="60"/>
    </row>
    <row r="4" spans="1:13" ht="12.75" customHeight="1">
      <c r="B4" s="85"/>
      <c r="C4" s="62"/>
      <c r="F4" s="87" t="s">
        <v>119</v>
      </c>
      <c r="G4" s="86"/>
      <c r="H4" s="60"/>
    </row>
    <row r="5" spans="1:13" s="91" customFormat="1">
      <c r="A5" s="828" t="s">
        <v>170</v>
      </c>
      <c r="B5" s="828"/>
      <c r="C5" s="225">
        <v>2021</v>
      </c>
      <c r="D5" s="224">
        <v>2022</v>
      </c>
      <c r="E5" s="224" t="s">
        <v>609</v>
      </c>
      <c r="F5" s="226" t="s">
        <v>1035</v>
      </c>
      <c r="G5" s="209"/>
      <c r="H5" s="210"/>
    </row>
    <row r="6" spans="1:13" s="91" customFormat="1">
      <c r="A6" s="227" t="s">
        <v>285</v>
      </c>
      <c r="B6" s="228" t="s">
        <v>286</v>
      </c>
      <c r="C6" s="58">
        <v>7944</v>
      </c>
      <c r="D6" s="229">
        <v>7505</v>
      </c>
      <c r="E6" s="229"/>
      <c r="F6" s="230"/>
      <c r="H6" s="232"/>
      <c r="M6" s="231"/>
    </row>
    <row r="7" spans="1:13" s="91" customFormat="1">
      <c r="A7" s="227" t="s">
        <v>361</v>
      </c>
      <c r="B7" s="234" t="s">
        <v>287</v>
      </c>
      <c r="C7" s="58">
        <v>18288</v>
      </c>
      <c r="D7" s="58">
        <v>18288</v>
      </c>
      <c r="E7" s="418">
        <v>36576</v>
      </c>
      <c r="F7" s="233">
        <v>13716</v>
      </c>
      <c r="M7" s="90"/>
    </row>
    <row r="8" spans="1:13" s="91" customFormat="1" ht="31.5">
      <c r="A8" s="227" t="s">
        <v>363</v>
      </c>
      <c r="B8" s="235" t="s">
        <v>607</v>
      </c>
      <c r="C8" s="58"/>
      <c r="D8" s="58"/>
      <c r="E8" s="418">
        <v>42411</v>
      </c>
      <c r="F8" s="233">
        <v>104000</v>
      </c>
      <c r="H8" s="210"/>
      <c r="M8" s="231"/>
    </row>
    <row r="9" spans="1:13" s="91" customFormat="1" ht="31.5">
      <c r="A9" s="227" t="s">
        <v>362</v>
      </c>
      <c r="B9" s="235" t="s">
        <v>608</v>
      </c>
      <c r="C9" s="58"/>
      <c r="D9" s="58"/>
      <c r="E9" s="418">
        <v>72000</v>
      </c>
      <c r="F9" s="233">
        <v>236000</v>
      </c>
      <c r="H9" s="210"/>
      <c r="M9" s="231"/>
    </row>
    <row r="10" spans="1:13" s="91" customFormat="1" ht="31.5">
      <c r="A10" s="227" t="s">
        <v>364</v>
      </c>
      <c r="B10" s="131" t="s">
        <v>432</v>
      </c>
      <c r="C10" s="233">
        <v>66000</v>
      </c>
      <c r="D10" s="233">
        <v>66000</v>
      </c>
      <c r="E10" s="233"/>
      <c r="F10" s="233"/>
      <c r="G10" s="90"/>
    </row>
    <row r="11" spans="1:13" s="91" customFormat="1" ht="31.5">
      <c r="A11" s="227" t="s">
        <v>365</v>
      </c>
      <c r="B11" s="131" t="s">
        <v>656</v>
      </c>
      <c r="C11" s="236">
        <v>18234</v>
      </c>
      <c r="D11" s="236">
        <v>18235</v>
      </c>
      <c r="E11" s="236">
        <v>15629</v>
      </c>
      <c r="F11" s="233"/>
      <c r="G11" s="90"/>
    </row>
    <row r="12" spans="1:13" s="91" customFormat="1">
      <c r="A12" s="227" t="s">
        <v>366</v>
      </c>
      <c r="B12" s="131" t="s">
        <v>606</v>
      </c>
      <c r="C12" s="236">
        <v>4642</v>
      </c>
      <c r="D12" s="236">
        <v>6330</v>
      </c>
      <c r="E12" s="236">
        <v>17724</v>
      </c>
      <c r="F12" s="233">
        <v>62456</v>
      </c>
      <c r="G12" s="90"/>
    </row>
    <row r="13" spans="1:13" s="91" customFormat="1" ht="31.5">
      <c r="A13" s="227" t="s">
        <v>367</v>
      </c>
      <c r="B13" s="270" t="s">
        <v>615</v>
      </c>
      <c r="C13" s="236">
        <v>1400</v>
      </c>
      <c r="D13" s="236">
        <v>2400</v>
      </c>
      <c r="E13" s="236">
        <v>6000</v>
      </c>
      <c r="F13" s="233">
        <v>24000</v>
      </c>
      <c r="G13" s="90"/>
    </row>
    <row r="14" spans="1:13" s="278" customFormat="1">
      <c r="A14" s="227" t="s">
        <v>368</v>
      </c>
      <c r="B14" s="360" t="s">
        <v>1036</v>
      </c>
      <c r="C14" s="276">
        <v>1800</v>
      </c>
      <c r="D14" s="276">
        <v>1800</v>
      </c>
      <c r="E14" s="276">
        <v>900</v>
      </c>
      <c r="F14" s="233"/>
      <c r="G14" s="277"/>
    </row>
    <row r="15" spans="1:13" s="278" customFormat="1">
      <c r="A15" s="227" t="s">
        <v>369</v>
      </c>
      <c r="B15" s="183" t="s">
        <v>1037</v>
      </c>
      <c r="C15" s="276">
        <v>10000</v>
      </c>
      <c r="D15" s="276">
        <v>10000</v>
      </c>
      <c r="E15" s="276">
        <v>20000</v>
      </c>
      <c r="F15" s="233"/>
      <c r="G15" s="277"/>
    </row>
    <row r="16" spans="1:13" s="278" customFormat="1">
      <c r="A16" s="227" t="s">
        <v>370</v>
      </c>
      <c r="B16" s="183" t="s">
        <v>1038</v>
      </c>
      <c r="C16" s="276">
        <v>50000</v>
      </c>
      <c r="D16" s="276"/>
      <c r="E16" s="276"/>
      <c r="F16" s="233"/>
      <c r="G16" s="277"/>
    </row>
    <row r="17" spans="1:7" s="91" customFormat="1">
      <c r="A17" s="88"/>
      <c r="B17" s="89" t="s">
        <v>122</v>
      </c>
      <c r="C17" s="223">
        <f>SUM(C6:C16)</f>
        <v>178308</v>
      </c>
      <c r="D17" s="223">
        <f t="shared" ref="D17:F17" si="0">SUM(D6:D16)</f>
        <v>130558</v>
      </c>
      <c r="E17" s="223">
        <f t="shared" si="0"/>
        <v>211240</v>
      </c>
      <c r="F17" s="223">
        <f t="shared" si="0"/>
        <v>440172</v>
      </c>
      <c r="G17" s="90"/>
    </row>
    <row r="18" spans="1:7">
      <c r="C18" s="92"/>
      <c r="D18" s="93"/>
      <c r="E18" s="93"/>
      <c r="F18" s="93"/>
    </row>
    <row r="19" spans="1:7">
      <c r="C19" s="92"/>
      <c r="D19" s="93"/>
      <c r="E19" s="93"/>
      <c r="F19" s="93"/>
    </row>
    <row r="20" spans="1:7">
      <c r="C20" s="92"/>
      <c r="D20" s="93"/>
      <c r="E20" s="93"/>
      <c r="F20" s="93"/>
    </row>
  </sheetData>
  <mergeCells count="3">
    <mergeCell ref="D1:F1"/>
    <mergeCell ref="A2:F2"/>
    <mergeCell ref="A5:B5"/>
  </mergeCells>
  <printOptions horizontalCentered="1" verticalCentered="1"/>
  <pageMargins left="0.11811023622047245" right="0.11811023622047245" top="0" bottom="0" header="0.11811023622047245" footer="0.19685039370078741"/>
  <pageSetup paperSize="9" scale="9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26"/>
  <sheetViews>
    <sheetView view="pageBreakPreview" zoomScaleNormal="100" zoomScaleSheetLayoutView="100" workbookViewId="0">
      <selection activeCell="E8" sqref="E8"/>
    </sheetView>
  </sheetViews>
  <sheetFormatPr defaultRowHeight="15.75"/>
  <cols>
    <col min="1" max="1" width="53.7109375" style="350" customWidth="1"/>
    <col min="2" max="2" width="12.7109375" style="54" customWidth="1"/>
    <col min="3" max="3" width="11" style="54" bestFit="1" customWidth="1"/>
    <col min="4" max="4" width="10.140625" style="54" customWidth="1"/>
    <col min="5" max="5" width="11.28515625" style="54" customWidth="1"/>
    <col min="6" max="6" width="10.7109375" style="54" customWidth="1"/>
    <col min="7" max="7" width="11.5703125" style="54" customWidth="1"/>
    <col min="8" max="8" width="12.42578125" style="54" customWidth="1"/>
    <col min="9" max="9" width="10" style="54" customWidth="1"/>
    <col min="10" max="10" width="10.85546875" style="54" customWidth="1"/>
    <col min="11" max="11" width="11.7109375" style="54" customWidth="1"/>
    <col min="12" max="12" width="11" style="54" customWidth="1"/>
    <col min="13" max="14" width="11" style="54" bestFit="1" customWidth="1"/>
    <col min="15" max="15" width="11.28515625" style="54" bestFit="1" customWidth="1"/>
    <col min="16" max="16" width="12.140625" style="54" bestFit="1" customWidth="1"/>
    <col min="17" max="252" width="9.140625" style="54"/>
    <col min="253" max="253" width="46.28515625" style="54" customWidth="1"/>
    <col min="254" max="254" width="12.7109375" style="54" customWidth="1"/>
    <col min="255" max="257" width="0" style="54" hidden="1" customWidth="1"/>
    <col min="258" max="258" width="12.7109375" style="54" customWidth="1"/>
    <col min="259" max="259" width="9.42578125" style="54" customWidth="1"/>
    <col min="260" max="260" width="10.140625" style="54" customWidth="1"/>
    <col min="261" max="261" width="11.28515625" style="54" customWidth="1"/>
    <col min="262" max="262" width="10.140625" style="54" bestFit="1" customWidth="1"/>
    <col min="263" max="263" width="10.140625" style="54" customWidth="1"/>
    <col min="264" max="264" width="12.42578125" style="54" customWidth="1"/>
    <col min="265" max="265" width="10" style="54" customWidth="1"/>
    <col min="266" max="266" width="10.85546875" style="54" customWidth="1"/>
    <col min="267" max="267" width="11.7109375" style="54" customWidth="1"/>
    <col min="268" max="268" width="11" style="54" customWidth="1"/>
    <col min="269" max="269" width="10.5703125" style="54" customWidth="1"/>
    <col min="270" max="270" width="11" style="54" bestFit="1" customWidth="1"/>
    <col min="271" max="271" width="11.28515625" style="54" bestFit="1" customWidth="1"/>
    <col min="272" max="272" width="12.140625" style="54" bestFit="1" customWidth="1"/>
    <col min="273" max="508" width="9.140625" style="54"/>
    <col min="509" max="509" width="46.28515625" style="54" customWidth="1"/>
    <col min="510" max="510" width="12.7109375" style="54" customWidth="1"/>
    <col min="511" max="513" width="0" style="54" hidden="1" customWidth="1"/>
    <col min="514" max="514" width="12.7109375" style="54" customWidth="1"/>
    <col min="515" max="515" width="9.42578125" style="54" customWidth="1"/>
    <col min="516" max="516" width="10.140625" style="54" customWidth="1"/>
    <col min="517" max="517" width="11.28515625" style="54" customWidth="1"/>
    <col min="518" max="518" width="10.140625" style="54" bestFit="1" customWidth="1"/>
    <col min="519" max="519" width="10.140625" style="54" customWidth="1"/>
    <col min="520" max="520" width="12.42578125" style="54" customWidth="1"/>
    <col min="521" max="521" width="10" style="54" customWidth="1"/>
    <col min="522" max="522" width="10.85546875" style="54" customWidth="1"/>
    <col min="523" max="523" width="11.7109375" style="54" customWidth="1"/>
    <col min="524" max="524" width="11" style="54" customWidth="1"/>
    <col min="525" max="525" width="10.5703125" style="54" customWidth="1"/>
    <col min="526" max="526" width="11" style="54" bestFit="1" customWidth="1"/>
    <col min="527" max="527" width="11.28515625" style="54" bestFit="1" customWidth="1"/>
    <col min="528" max="528" width="12.140625" style="54" bestFit="1" customWidth="1"/>
    <col min="529" max="764" width="9.140625" style="54"/>
    <col min="765" max="765" width="46.28515625" style="54" customWidth="1"/>
    <col min="766" max="766" width="12.7109375" style="54" customWidth="1"/>
    <col min="767" max="769" width="0" style="54" hidden="1" customWidth="1"/>
    <col min="770" max="770" width="12.7109375" style="54" customWidth="1"/>
    <col min="771" max="771" width="9.42578125" style="54" customWidth="1"/>
    <col min="772" max="772" width="10.140625" style="54" customWidth="1"/>
    <col min="773" max="773" width="11.28515625" style="54" customWidth="1"/>
    <col min="774" max="774" width="10.140625" style="54" bestFit="1" customWidth="1"/>
    <col min="775" max="775" width="10.140625" style="54" customWidth="1"/>
    <col min="776" max="776" width="12.42578125" style="54" customWidth="1"/>
    <col min="777" max="777" width="10" style="54" customWidth="1"/>
    <col min="778" max="778" width="10.85546875" style="54" customWidth="1"/>
    <col min="779" max="779" width="11.7109375" style="54" customWidth="1"/>
    <col min="780" max="780" width="11" style="54" customWidth="1"/>
    <col min="781" max="781" width="10.5703125" style="54" customWidth="1"/>
    <col min="782" max="782" width="11" style="54" bestFit="1" customWidth="1"/>
    <col min="783" max="783" width="11.28515625" style="54" bestFit="1" customWidth="1"/>
    <col min="784" max="784" width="12.140625" style="54" bestFit="1" customWidth="1"/>
    <col min="785" max="1020" width="9.140625" style="54"/>
    <col min="1021" max="1021" width="46.28515625" style="54" customWidth="1"/>
    <col min="1022" max="1022" width="12.7109375" style="54" customWidth="1"/>
    <col min="1023" max="1025" width="0" style="54" hidden="1" customWidth="1"/>
    <col min="1026" max="1026" width="12.7109375" style="54" customWidth="1"/>
    <col min="1027" max="1027" width="9.42578125" style="54" customWidth="1"/>
    <col min="1028" max="1028" width="10.140625" style="54" customWidth="1"/>
    <col min="1029" max="1029" width="11.28515625" style="54" customWidth="1"/>
    <col min="1030" max="1030" width="10.140625" style="54" bestFit="1" customWidth="1"/>
    <col min="1031" max="1031" width="10.140625" style="54" customWidth="1"/>
    <col min="1032" max="1032" width="12.42578125" style="54" customWidth="1"/>
    <col min="1033" max="1033" width="10" style="54" customWidth="1"/>
    <col min="1034" max="1034" width="10.85546875" style="54" customWidth="1"/>
    <col min="1035" max="1035" width="11.7109375" style="54" customWidth="1"/>
    <col min="1036" max="1036" width="11" style="54" customWidth="1"/>
    <col min="1037" max="1037" width="10.5703125" style="54" customWidth="1"/>
    <col min="1038" max="1038" width="11" style="54" bestFit="1" customWidth="1"/>
    <col min="1039" max="1039" width="11.28515625" style="54" bestFit="1" customWidth="1"/>
    <col min="1040" max="1040" width="12.140625" style="54" bestFit="1" customWidth="1"/>
    <col min="1041" max="1276" width="9.140625" style="54"/>
    <col min="1277" max="1277" width="46.28515625" style="54" customWidth="1"/>
    <col min="1278" max="1278" width="12.7109375" style="54" customWidth="1"/>
    <col min="1279" max="1281" width="0" style="54" hidden="1" customWidth="1"/>
    <col min="1282" max="1282" width="12.7109375" style="54" customWidth="1"/>
    <col min="1283" max="1283" width="9.42578125" style="54" customWidth="1"/>
    <col min="1284" max="1284" width="10.140625" style="54" customWidth="1"/>
    <col min="1285" max="1285" width="11.28515625" style="54" customWidth="1"/>
    <col min="1286" max="1286" width="10.140625" style="54" bestFit="1" customWidth="1"/>
    <col min="1287" max="1287" width="10.140625" style="54" customWidth="1"/>
    <col min="1288" max="1288" width="12.42578125" style="54" customWidth="1"/>
    <col min="1289" max="1289" width="10" style="54" customWidth="1"/>
    <col min="1290" max="1290" width="10.85546875" style="54" customWidth="1"/>
    <col min="1291" max="1291" width="11.7109375" style="54" customWidth="1"/>
    <col min="1292" max="1292" width="11" style="54" customWidth="1"/>
    <col min="1293" max="1293" width="10.5703125" style="54" customWidth="1"/>
    <col min="1294" max="1294" width="11" style="54" bestFit="1" customWidth="1"/>
    <col min="1295" max="1295" width="11.28515625" style="54" bestFit="1" customWidth="1"/>
    <col min="1296" max="1296" width="12.140625" style="54" bestFit="1" customWidth="1"/>
    <col min="1297" max="1532" width="9.140625" style="54"/>
    <col min="1533" max="1533" width="46.28515625" style="54" customWidth="1"/>
    <col min="1534" max="1534" width="12.7109375" style="54" customWidth="1"/>
    <col min="1535" max="1537" width="0" style="54" hidden="1" customWidth="1"/>
    <col min="1538" max="1538" width="12.7109375" style="54" customWidth="1"/>
    <col min="1539" max="1539" width="9.42578125" style="54" customWidth="1"/>
    <col min="1540" max="1540" width="10.140625" style="54" customWidth="1"/>
    <col min="1541" max="1541" width="11.28515625" style="54" customWidth="1"/>
    <col min="1542" max="1542" width="10.140625" style="54" bestFit="1" customWidth="1"/>
    <col min="1543" max="1543" width="10.140625" style="54" customWidth="1"/>
    <col min="1544" max="1544" width="12.42578125" style="54" customWidth="1"/>
    <col min="1545" max="1545" width="10" style="54" customWidth="1"/>
    <col min="1546" max="1546" width="10.85546875" style="54" customWidth="1"/>
    <col min="1547" max="1547" width="11.7109375" style="54" customWidth="1"/>
    <col min="1548" max="1548" width="11" style="54" customWidth="1"/>
    <col min="1549" max="1549" width="10.5703125" style="54" customWidth="1"/>
    <col min="1550" max="1550" width="11" style="54" bestFit="1" customWidth="1"/>
    <col min="1551" max="1551" width="11.28515625" style="54" bestFit="1" customWidth="1"/>
    <col min="1552" max="1552" width="12.140625" style="54" bestFit="1" customWidth="1"/>
    <col min="1553" max="1788" width="9.140625" style="54"/>
    <col min="1789" max="1789" width="46.28515625" style="54" customWidth="1"/>
    <col min="1790" max="1790" width="12.7109375" style="54" customWidth="1"/>
    <col min="1791" max="1793" width="0" style="54" hidden="1" customWidth="1"/>
    <col min="1794" max="1794" width="12.7109375" style="54" customWidth="1"/>
    <col min="1795" max="1795" width="9.42578125" style="54" customWidth="1"/>
    <col min="1796" max="1796" width="10.140625" style="54" customWidth="1"/>
    <col min="1797" max="1797" width="11.28515625" style="54" customWidth="1"/>
    <col min="1798" max="1798" width="10.140625" style="54" bestFit="1" customWidth="1"/>
    <col min="1799" max="1799" width="10.140625" style="54" customWidth="1"/>
    <col min="1800" max="1800" width="12.42578125" style="54" customWidth="1"/>
    <col min="1801" max="1801" width="10" style="54" customWidth="1"/>
    <col min="1802" max="1802" width="10.85546875" style="54" customWidth="1"/>
    <col min="1803" max="1803" width="11.7109375" style="54" customWidth="1"/>
    <col min="1804" max="1804" width="11" style="54" customWidth="1"/>
    <col min="1805" max="1805" width="10.5703125" style="54" customWidth="1"/>
    <col min="1806" max="1806" width="11" style="54" bestFit="1" customWidth="1"/>
    <col min="1807" max="1807" width="11.28515625" style="54" bestFit="1" customWidth="1"/>
    <col min="1808" max="1808" width="12.140625" style="54" bestFit="1" customWidth="1"/>
    <col min="1809" max="2044" width="9.140625" style="54"/>
    <col min="2045" max="2045" width="46.28515625" style="54" customWidth="1"/>
    <col min="2046" max="2046" width="12.7109375" style="54" customWidth="1"/>
    <col min="2047" max="2049" width="0" style="54" hidden="1" customWidth="1"/>
    <col min="2050" max="2050" width="12.7109375" style="54" customWidth="1"/>
    <col min="2051" max="2051" width="9.42578125" style="54" customWidth="1"/>
    <col min="2052" max="2052" width="10.140625" style="54" customWidth="1"/>
    <col min="2053" max="2053" width="11.28515625" style="54" customWidth="1"/>
    <col min="2054" max="2054" width="10.140625" style="54" bestFit="1" customWidth="1"/>
    <col min="2055" max="2055" width="10.140625" style="54" customWidth="1"/>
    <col min="2056" max="2056" width="12.42578125" style="54" customWidth="1"/>
    <col min="2057" max="2057" width="10" style="54" customWidth="1"/>
    <col min="2058" max="2058" width="10.85546875" style="54" customWidth="1"/>
    <col min="2059" max="2059" width="11.7109375" style="54" customWidth="1"/>
    <col min="2060" max="2060" width="11" style="54" customWidth="1"/>
    <col min="2061" max="2061" width="10.5703125" style="54" customWidth="1"/>
    <col min="2062" max="2062" width="11" style="54" bestFit="1" customWidth="1"/>
    <col min="2063" max="2063" width="11.28515625" style="54" bestFit="1" customWidth="1"/>
    <col min="2064" max="2064" width="12.140625" style="54" bestFit="1" customWidth="1"/>
    <col min="2065" max="2300" width="9.140625" style="54"/>
    <col min="2301" max="2301" width="46.28515625" style="54" customWidth="1"/>
    <col min="2302" max="2302" width="12.7109375" style="54" customWidth="1"/>
    <col min="2303" max="2305" width="0" style="54" hidden="1" customWidth="1"/>
    <col min="2306" max="2306" width="12.7109375" style="54" customWidth="1"/>
    <col min="2307" max="2307" width="9.42578125" style="54" customWidth="1"/>
    <col min="2308" max="2308" width="10.140625" style="54" customWidth="1"/>
    <col min="2309" max="2309" width="11.28515625" style="54" customWidth="1"/>
    <col min="2310" max="2310" width="10.140625" style="54" bestFit="1" customWidth="1"/>
    <col min="2311" max="2311" width="10.140625" style="54" customWidth="1"/>
    <col min="2312" max="2312" width="12.42578125" style="54" customWidth="1"/>
    <col min="2313" max="2313" width="10" style="54" customWidth="1"/>
    <col min="2314" max="2314" width="10.85546875" style="54" customWidth="1"/>
    <col min="2315" max="2315" width="11.7109375" style="54" customWidth="1"/>
    <col min="2316" max="2316" width="11" style="54" customWidth="1"/>
    <col min="2317" max="2317" width="10.5703125" style="54" customWidth="1"/>
    <col min="2318" max="2318" width="11" style="54" bestFit="1" customWidth="1"/>
    <col min="2319" max="2319" width="11.28515625" style="54" bestFit="1" customWidth="1"/>
    <col min="2320" max="2320" width="12.140625" style="54" bestFit="1" customWidth="1"/>
    <col min="2321" max="2556" width="9.140625" style="54"/>
    <col min="2557" max="2557" width="46.28515625" style="54" customWidth="1"/>
    <col min="2558" max="2558" width="12.7109375" style="54" customWidth="1"/>
    <col min="2559" max="2561" width="0" style="54" hidden="1" customWidth="1"/>
    <col min="2562" max="2562" width="12.7109375" style="54" customWidth="1"/>
    <col min="2563" max="2563" width="9.42578125" style="54" customWidth="1"/>
    <col min="2564" max="2564" width="10.140625" style="54" customWidth="1"/>
    <col min="2565" max="2565" width="11.28515625" style="54" customWidth="1"/>
    <col min="2566" max="2566" width="10.140625" style="54" bestFit="1" customWidth="1"/>
    <col min="2567" max="2567" width="10.140625" style="54" customWidth="1"/>
    <col min="2568" max="2568" width="12.42578125" style="54" customWidth="1"/>
    <col min="2569" max="2569" width="10" style="54" customWidth="1"/>
    <col min="2570" max="2570" width="10.85546875" style="54" customWidth="1"/>
    <col min="2571" max="2571" width="11.7109375" style="54" customWidth="1"/>
    <col min="2572" max="2572" width="11" style="54" customWidth="1"/>
    <col min="2573" max="2573" width="10.5703125" style="54" customWidth="1"/>
    <col min="2574" max="2574" width="11" style="54" bestFit="1" customWidth="1"/>
    <col min="2575" max="2575" width="11.28515625" style="54" bestFit="1" customWidth="1"/>
    <col min="2576" max="2576" width="12.140625" style="54" bestFit="1" customWidth="1"/>
    <col min="2577" max="2812" width="9.140625" style="54"/>
    <col min="2813" max="2813" width="46.28515625" style="54" customWidth="1"/>
    <col min="2814" max="2814" width="12.7109375" style="54" customWidth="1"/>
    <col min="2815" max="2817" width="0" style="54" hidden="1" customWidth="1"/>
    <col min="2818" max="2818" width="12.7109375" style="54" customWidth="1"/>
    <col min="2819" max="2819" width="9.42578125" style="54" customWidth="1"/>
    <col min="2820" max="2820" width="10.140625" style="54" customWidth="1"/>
    <col min="2821" max="2821" width="11.28515625" style="54" customWidth="1"/>
    <col min="2822" max="2822" width="10.140625" style="54" bestFit="1" customWidth="1"/>
    <col min="2823" max="2823" width="10.140625" style="54" customWidth="1"/>
    <col min="2824" max="2824" width="12.42578125" style="54" customWidth="1"/>
    <col min="2825" max="2825" width="10" style="54" customWidth="1"/>
    <col min="2826" max="2826" width="10.85546875" style="54" customWidth="1"/>
    <col min="2827" max="2827" width="11.7109375" style="54" customWidth="1"/>
    <col min="2828" max="2828" width="11" style="54" customWidth="1"/>
    <col min="2829" max="2829" width="10.5703125" style="54" customWidth="1"/>
    <col min="2830" max="2830" width="11" style="54" bestFit="1" customWidth="1"/>
    <col min="2831" max="2831" width="11.28515625" style="54" bestFit="1" customWidth="1"/>
    <col min="2832" max="2832" width="12.140625" style="54" bestFit="1" customWidth="1"/>
    <col min="2833" max="3068" width="9.140625" style="54"/>
    <col min="3069" max="3069" width="46.28515625" style="54" customWidth="1"/>
    <col min="3070" max="3070" width="12.7109375" style="54" customWidth="1"/>
    <col min="3071" max="3073" width="0" style="54" hidden="1" customWidth="1"/>
    <col min="3074" max="3074" width="12.7109375" style="54" customWidth="1"/>
    <col min="3075" max="3075" width="9.42578125" style="54" customWidth="1"/>
    <col min="3076" max="3076" width="10.140625" style="54" customWidth="1"/>
    <col min="3077" max="3077" width="11.28515625" style="54" customWidth="1"/>
    <col min="3078" max="3078" width="10.140625" style="54" bestFit="1" customWidth="1"/>
    <col min="3079" max="3079" width="10.140625" style="54" customWidth="1"/>
    <col min="3080" max="3080" width="12.42578125" style="54" customWidth="1"/>
    <col min="3081" max="3081" width="10" style="54" customWidth="1"/>
    <col min="3082" max="3082" width="10.85546875" style="54" customWidth="1"/>
    <col min="3083" max="3083" width="11.7109375" style="54" customWidth="1"/>
    <col min="3084" max="3084" width="11" style="54" customWidth="1"/>
    <col min="3085" max="3085" width="10.5703125" style="54" customWidth="1"/>
    <col min="3086" max="3086" width="11" style="54" bestFit="1" customWidth="1"/>
    <col min="3087" max="3087" width="11.28515625" style="54" bestFit="1" customWidth="1"/>
    <col min="3088" max="3088" width="12.140625" style="54" bestFit="1" customWidth="1"/>
    <col min="3089" max="3324" width="9.140625" style="54"/>
    <col min="3325" max="3325" width="46.28515625" style="54" customWidth="1"/>
    <col min="3326" max="3326" width="12.7109375" style="54" customWidth="1"/>
    <col min="3327" max="3329" width="0" style="54" hidden="1" customWidth="1"/>
    <col min="3330" max="3330" width="12.7109375" style="54" customWidth="1"/>
    <col min="3331" max="3331" width="9.42578125" style="54" customWidth="1"/>
    <col min="3332" max="3332" width="10.140625" style="54" customWidth="1"/>
    <col min="3333" max="3333" width="11.28515625" style="54" customWidth="1"/>
    <col min="3334" max="3334" width="10.140625" style="54" bestFit="1" customWidth="1"/>
    <col min="3335" max="3335" width="10.140625" style="54" customWidth="1"/>
    <col min="3336" max="3336" width="12.42578125" style="54" customWidth="1"/>
    <col min="3337" max="3337" width="10" style="54" customWidth="1"/>
    <col min="3338" max="3338" width="10.85546875" style="54" customWidth="1"/>
    <col min="3339" max="3339" width="11.7109375" style="54" customWidth="1"/>
    <col min="3340" max="3340" width="11" style="54" customWidth="1"/>
    <col min="3341" max="3341" width="10.5703125" style="54" customWidth="1"/>
    <col min="3342" max="3342" width="11" style="54" bestFit="1" customWidth="1"/>
    <col min="3343" max="3343" width="11.28515625" style="54" bestFit="1" customWidth="1"/>
    <col min="3344" max="3344" width="12.140625" style="54" bestFit="1" customWidth="1"/>
    <col min="3345" max="3580" width="9.140625" style="54"/>
    <col min="3581" max="3581" width="46.28515625" style="54" customWidth="1"/>
    <col min="3582" max="3582" width="12.7109375" style="54" customWidth="1"/>
    <col min="3583" max="3585" width="0" style="54" hidden="1" customWidth="1"/>
    <col min="3586" max="3586" width="12.7109375" style="54" customWidth="1"/>
    <col min="3587" max="3587" width="9.42578125" style="54" customWidth="1"/>
    <col min="3588" max="3588" width="10.140625" style="54" customWidth="1"/>
    <col min="3589" max="3589" width="11.28515625" style="54" customWidth="1"/>
    <col min="3590" max="3590" width="10.140625" style="54" bestFit="1" customWidth="1"/>
    <col min="3591" max="3591" width="10.140625" style="54" customWidth="1"/>
    <col min="3592" max="3592" width="12.42578125" style="54" customWidth="1"/>
    <col min="3593" max="3593" width="10" style="54" customWidth="1"/>
    <col min="3594" max="3594" width="10.85546875" style="54" customWidth="1"/>
    <col min="3595" max="3595" width="11.7109375" style="54" customWidth="1"/>
    <col min="3596" max="3596" width="11" style="54" customWidth="1"/>
    <col min="3597" max="3597" width="10.5703125" style="54" customWidth="1"/>
    <col min="3598" max="3598" width="11" style="54" bestFit="1" customWidth="1"/>
    <col min="3599" max="3599" width="11.28515625" style="54" bestFit="1" customWidth="1"/>
    <col min="3600" max="3600" width="12.140625" style="54" bestFit="1" customWidth="1"/>
    <col min="3601" max="3836" width="9.140625" style="54"/>
    <col min="3837" max="3837" width="46.28515625" style="54" customWidth="1"/>
    <col min="3838" max="3838" width="12.7109375" style="54" customWidth="1"/>
    <col min="3839" max="3841" width="0" style="54" hidden="1" customWidth="1"/>
    <col min="3842" max="3842" width="12.7109375" style="54" customWidth="1"/>
    <col min="3843" max="3843" width="9.42578125" style="54" customWidth="1"/>
    <col min="3844" max="3844" width="10.140625" style="54" customWidth="1"/>
    <col min="3845" max="3845" width="11.28515625" style="54" customWidth="1"/>
    <col min="3846" max="3846" width="10.140625" style="54" bestFit="1" customWidth="1"/>
    <col min="3847" max="3847" width="10.140625" style="54" customWidth="1"/>
    <col min="3848" max="3848" width="12.42578125" style="54" customWidth="1"/>
    <col min="3849" max="3849" width="10" style="54" customWidth="1"/>
    <col min="3850" max="3850" width="10.85546875" style="54" customWidth="1"/>
    <col min="3851" max="3851" width="11.7109375" style="54" customWidth="1"/>
    <col min="3852" max="3852" width="11" style="54" customWidth="1"/>
    <col min="3853" max="3853" width="10.5703125" style="54" customWidth="1"/>
    <col min="3854" max="3854" width="11" style="54" bestFit="1" customWidth="1"/>
    <col min="3855" max="3855" width="11.28515625" style="54" bestFit="1" customWidth="1"/>
    <col min="3856" max="3856" width="12.140625" style="54" bestFit="1" customWidth="1"/>
    <col min="3857" max="4092" width="9.140625" style="54"/>
    <col min="4093" max="4093" width="46.28515625" style="54" customWidth="1"/>
    <col min="4094" max="4094" width="12.7109375" style="54" customWidth="1"/>
    <col min="4095" max="4097" width="0" style="54" hidden="1" customWidth="1"/>
    <col min="4098" max="4098" width="12.7109375" style="54" customWidth="1"/>
    <col min="4099" max="4099" width="9.42578125" style="54" customWidth="1"/>
    <col min="4100" max="4100" width="10.140625" style="54" customWidth="1"/>
    <col min="4101" max="4101" width="11.28515625" style="54" customWidth="1"/>
    <col min="4102" max="4102" width="10.140625" style="54" bestFit="1" customWidth="1"/>
    <col min="4103" max="4103" width="10.140625" style="54" customWidth="1"/>
    <col min="4104" max="4104" width="12.42578125" style="54" customWidth="1"/>
    <col min="4105" max="4105" width="10" style="54" customWidth="1"/>
    <col min="4106" max="4106" width="10.85546875" style="54" customWidth="1"/>
    <col min="4107" max="4107" width="11.7109375" style="54" customWidth="1"/>
    <col min="4108" max="4108" width="11" style="54" customWidth="1"/>
    <col min="4109" max="4109" width="10.5703125" style="54" customWidth="1"/>
    <col min="4110" max="4110" width="11" style="54" bestFit="1" customWidth="1"/>
    <col min="4111" max="4111" width="11.28515625" style="54" bestFit="1" customWidth="1"/>
    <col min="4112" max="4112" width="12.140625" style="54" bestFit="1" customWidth="1"/>
    <col min="4113" max="4348" width="9.140625" style="54"/>
    <col min="4349" max="4349" width="46.28515625" style="54" customWidth="1"/>
    <col min="4350" max="4350" width="12.7109375" style="54" customWidth="1"/>
    <col min="4351" max="4353" width="0" style="54" hidden="1" customWidth="1"/>
    <col min="4354" max="4354" width="12.7109375" style="54" customWidth="1"/>
    <col min="4355" max="4355" width="9.42578125" style="54" customWidth="1"/>
    <col min="4356" max="4356" width="10.140625" style="54" customWidth="1"/>
    <col min="4357" max="4357" width="11.28515625" style="54" customWidth="1"/>
    <col min="4358" max="4358" width="10.140625" style="54" bestFit="1" customWidth="1"/>
    <col min="4359" max="4359" width="10.140625" style="54" customWidth="1"/>
    <col min="4360" max="4360" width="12.42578125" style="54" customWidth="1"/>
    <col min="4361" max="4361" width="10" style="54" customWidth="1"/>
    <col min="4362" max="4362" width="10.85546875" style="54" customWidth="1"/>
    <col min="4363" max="4363" width="11.7109375" style="54" customWidth="1"/>
    <col min="4364" max="4364" width="11" style="54" customWidth="1"/>
    <col min="4365" max="4365" width="10.5703125" style="54" customWidth="1"/>
    <col min="4366" max="4366" width="11" style="54" bestFit="1" customWidth="1"/>
    <col min="4367" max="4367" width="11.28515625" style="54" bestFit="1" customWidth="1"/>
    <col min="4368" max="4368" width="12.140625" style="54" bestFit="1" customWidth="1"/>
    <col min="4369" max="4604" width="9.140625" style="54"/>
    <col min="4605" max="4605" width="46.28515625" style="54" customWidth="1"/>
    <col min="4606" max="4606" width="12.7109375" style="54" customWidth="1"/>
    <col min="4607" max="4609" width="0" style="54" hidden="1" customWidth="1"/>
    <col min="4610" max="4610" width="12.7109375" style="54" customWidth="1"/>
    <col min="4611" max="4611" width="9.42578125" style="54" customWidth="1"/>
    <col min="4612" max="4612" width="10.140625" style="54" customWidth="1"/>
    <col min="4613" max="4613" width="11.28515625" style="54" customWidth="1"/>
    <col min="4614" max="4614" width="10.140625" style="54" bestFit="1" customWidth="1"/>
    <col min="4615" max="4615" width="10.140625" style="54" customWidth="1"/>
    <col min="4616" max="4616" width="12.42578125" style="54" customWidth="1"/>
    <col min="4617" max="4617" width="10" style="54" customWidth="1"/>
    <col min="4618" max="4618" width="10.85546875" style="54" customWidth="1"/>
    <col min="4619" max="4619" width="11.7109375" style="54" customWidth="1"/>
    <col min="4620" max="4620" width="11" style="54" customWidth="1"/>
    <col min="4621" max="4621" width="10.5703125" style="54" customWidth="1"/>
    <col min="4622" max="4622" width="11" style="54" bestFit="1" customWidth="1"/>
    <col min="4623" max="4623" width="11.28515625" style="54" bestFit="1" customWidth="1"/>
    <col min="4624" max="4624" width="12.140625" style="54" bestFit="1" customWidth="1"/>
    <col min="4625" max="4860" width="9.140625" style="54"/>
    <col min="4861" max="4861" width="46.28515625" style="54" customWidth="1"/>
    <col min="4862" max="4862" width="12.7109375" style="54" customWidth="1"/>
    <col min="4863" max="4865" width="0" style="54" hidden="1" customWidth="1"/>
    <col min="4866" max="4866" width="12.7109375" style="54" customWidth="1"/>
    <col min="4867" max="4867" width="9.42578125" style="54" customWidth="1"/>
    <col min="4868" max="4868" width="10.140625" style="54" customWidth="1"/>
    <col min="4869" max="4869" width="11.28515625" style="54" customWidth="1"/>
    <col min="4870" max="4870" width="10.140625" style="54" bestFit="1" customWidth="1"/>
    <col min="4871" max="4871" width="10.140625" style="54" customWidth="1"/>
    <col min="4872" max="4872" width="12.42578125" style="54" customWidth="1"/>
    <col min="4873" max="4873" width="10" style="54" customWidth="1"/>
    <col min="4874" max="4874" width="10.85546875" style="54" customWidth="1"/>
    <col min="4875" max="4875" width="11.7109375" style="54" customWidth="1"/>
    <col min="4876" max="4876" width="11" style="54" customWidth="1"/>
    <col min="4877" max="4877" width="10.5703125" style="54" customWidth="1"/>
    <col min="4878" max="4878" width="11" style="54" bestFit="1" customWidth="1"/>
    <col min="4879" max="4879" width="11.28515625" style="54" bestFit="1" customWidth="1"/>
    <col min="4880" max="4880" width="12.140625" style="54" bestFit="1" customWidth="1"/>
    <col min="4881" max="5116" width="9.140625" style="54"/>
    <col min="5117" max="5117" width="46.28515625" style="54" customWidth="1"/>
    <col min="5118" max="5118" width="12.7109375" style="54" customWidth="1"/>
    <col min="5119" max="5121" width="0" style="54" hidden="1" customWidth="1"/>
    <col min="5122" max="5122" width="12.7109375" style="54" customWidth="1"/>
    <col min="5123" max="5123" width="9.42578125" style="54" customWidth="1"/>
    <col min="5124" max="5124" width="10.140625" style="54" customWidth="1"/>
    <col min="5125" max="5125" width="11.28515625" style="54" customWidth="1"/>
    <col min="5126" max="5126" width="10.140625" style="54" bestFit="1" customWidth="1"/>
    <col min="5127" max="5127" width="10.140625" style="54" customWidth="1"/>
    <col min="5128" max="5128" width="12.42578125" style="54" customWidth="1"/>
    <col min="5129" max="5129" width="10" style="54" customWidth="1"/>
    <col min="5130" max="5130" width="10.85546875" style="54" customWidth="1"/>
    <col min="5131" max="5131" width="11.7109375" style="54" customWidth="1"/>
    <col min="5132" max="5132" width="11" style="54" customWidth="1"/>
    <col min="5133" max="5133" width="10.5703125" style="54" customWidth="1"/>
    <col min="5134" max="5134" width="11" style="54" bestFit="1" customWidth="1"/>
    <col min="5135" max="5135" width="11.28515625" style="54" bestFit="1" customWidth="1"/>
    <col min="5136" max="5136" width="12.140625" style="54" bestFit="1" customWidth="1"/>
    <col min="5137" max="5372" width="9.140625" style="54"/>
    <col min="5373" max="5373" width="46.28515625" style="54" customWidth="1"/>
    <col min="5374" max="5374" width="12.7109375" style="54" customWidth="1"/>
    <col min="5375" max="5377" width="0" style="54" hidden="1" customWidth="1"/>
    <col min="5378" max="5378" width="12.7109375" style="54" customWidth="1"/>
    <col min="5379" max="5379" width="9.42578125" style="54" customWidth="1"/>
    <col min="5380" max="5380" width="10.140625" style="54" customWidth="1"/>
    <col min="5381" max="5381" width="11.28515625" style="54" customWidth="1"/>
    <col min="5382" max="5382" width="10.140625" style="54" bestFit="1" customWidth="1"/>
    <col min="5383" max="5383" width="10.140625" style="54" customWidth="1"/>
    <col min="5384" max="5384" width="12.42578125" style="54" customWidth="1"/>
    <col min="5385" max="5385" width="10" style="54" customWidth="1"/>
    <col min="5386" max="5386" width="10.85546875" style="54" customWidth="1"/>
    <col min="5387" max="5387" width="11.7109375" style="54" customWidth="1"/>
    <col min="5388" max="5388" width="11" style="54" customWidth="1"/>
    <col min="5389" max="5389" width="10.5703125" style="54" customWidth="1"/>
    <col min="5390" max="5390" width="11" style="54" bestFit="1" customWidth="1"/>
    <col min="5391" max="5391" width="11.28515625" style="54" bestFit="1" customWidth="1"/>
    <col min="5392" max="5392" width="12.140625" style="54" bestFit="1" customWidth="1"/>
    <col min="5393" max="5628" width="9.140625" style="54"/>
    <col min="5629" max="5629" width="46.28515625" style="54" customWidth="1"/>
    <col min="5630" max="5630" width="12.7109375" style="54" customWidth="1"/>
    <col min="5631" max="5633" width="0" style="54" hidden="1" customWidth="1"/>
    <col min="5634" max="5634" width="12.7109375" style="54" customWidth="1"/>
    <col min="5635" max="5635" width="9.42578125" style="54" customWidth="1"/>
    <col min="5636" max="5636" width="10.140625" style="54" customWidth="1"/>
    <col min="5637" max="5637" width="11.28515625" style="54" customWidth="1"/>
    <col min="5638" max="5638" width="10.140625" style="54" bestFit="1" customWidth="1"/>
    <col min="5639" max="5639" width="10.140625" style="54" customWidth="1"/>
    <col min="5640" max="5640" width="12.42578125" style="54" customWidth="1"/>
    <col min="5641" max="5641" width="10" style="54" customWidth="1"/>
    <col min="5642" max="5642" width="10.85546875" style="54" customWidth="1"/>
    <col min="5643" max="5643" width="11.7109375" style="54" customWidth="1"/>
    <col min="5644" max="5644" width="11" style="54" customWidth="1"/>
    <col min="5645" max="5645" width="10.5703125" style="54" customWidth="1"/>
    <col min="5646" max="5646" width="11" style="54" bestFit="1" customWidth="1"/>
    <col min="5647" max="5647" width="11.28515625" style="54" bestFit="1" customWidth="1"/>
    <col min="5648" max="5648" width="12.140625" style="54" bestFit="1" customWidth="1"/>
    <col min="5649" max="5884" width="9.140625" style="54"/>
    <col min="5885" max="5885" width="46.28515625" style="54" customWidth="1"/>
    <col min="5886" max="5886" width="12.7109375" style="54" customWidth="1"/>
    <col min="5887" max="5889" width="0" style="54" hidden="1" customWidth="1"/>
    <col min="5890" max="5890" width="12.7109375" style="54" customWidth="1"/>
    <col min="5891" max="5891" width="9.42578125" style="54" customWidth="1"/>
    <col min="5892" max="5892" width="10.140625" style="54" customWidth="1"/>
    <col min="5893" max="5893" width="11.28515625" style="54" customWidth="1"/>
    <col min="5894" max="5894" width="10.140625" style="54" bestFit="1" customWidth="1"/>
    <col min="5895" max="5895" width="10.140625" style="54" customWidth="1"/>
    <col min="5896" max="5896" width="12.42578125" style="54" customWidth="1"/>
    <col min="5897" max="5897" width="10" style="54" customWidth="1"/>
    <col min="5898" max="5898" width="10.85546875" style="54" customWidth="1"/>
    <col min="5899" max="5899" width="11.7109375" style="54" customWidth="1"/>
    <col min="5900" max="5900" width="11" style="54" customWidth="1"/>
    <col min="5901" max="5901" width="10.5703125" style="54" customWidth="1"/>
    <col min="5902" max="5902" width="11" style="54" bestFit="1" customWidth="1"/>
    <col min="5903" max="5903" width="11.28515625" style="54" bestFit="1" customWidth="1"/>
    <col min="5904" max="5904" width="12.140625" style="54" bestFit="1" customWidth="1"/>
    <col min="5905" max="6140" width="9.140625" style="54"/>
    <col min="6141" max="6141" width="46.28515625" style="54" customWidth="1"/>
    <col min="6142" max="6142" width="12.7109375" style="54" customWidth="1"/>
    <col min="6143" max="6145" width="0" style="54" hidden="1" customWidth="1"/>
    <col min="6146" max="6146" width="12.7109375" style="54" customWidth="1"/>
    <col min="6147" max="6147" width="9.42578125" style="54" customWidth="1"/>
    <col min="6148" max="6148" width="10.140625" style="54" customWidth="1"/>
    <col min="6149" max="6149" width="11.28515625" style="54" customWidth="1"/>
    <col min="6150" max="6150" width="10.140625" style="54" bestFit="1" customWidth="1"/>
    <col min="6151" max="6151" width="10.140625" style="54" customWidth="1"/>
    <col min="6152" max="6152" width="12.42578125" style="54" customWidth="1"/>
    <col min="6153" max="6153" width="10" style="54" customWidth="1"/>
    <col min="6154" max="6154" width="10.85546875" style="54" customWidth="1"/>
    <col min="6155" max="6155" width="11.7109375" style="54" customWidth="1"/>
    <col min="6156" max="6156" width="11" style="54" customWidth="1"/>
    <col min="6157" max="6157" width="10.5703125" style="54" customWidth="1"/>
    <col min="6158" max="6158" width="11" style="54" bestFit="1" customWidth="1"/>
    <col min="6159" max="6159" width="11.28515625" style="54" bestFit="1" customWidth="1"/>
    <col min="6160" max="6160" width="12.140625" style="54" bestFit="1" customWidth="1"/>
    <col min="6161" max="6396" width="9.140625" style="54"/>
    <col min="6397" max="6397" width="46.28515625" style="54" customWidth="1"/>
    <col min="6398" max="6398" width="12.7109375" style="54" customWidth="1"/>
    <col min="6399" max="6401" width="0" style="54" hidden="1" customWidth="1"/>
    <col min="6402" max="6402" width="12.7109375" style="54" customWidth="1"/>
    <col min="6403" max="6403" width="9.42578125" style="54" customWidth="1"/>
    <col min="6404" max="6404" width="10.140625" style="54" customWidth="1"/>
    <col min="6405" max="6405" width="11.28515625" style="54" customWidth="1"/>
    <col min="6406" max="6406" width="10.140625" style="54" bestFit="1" customWidth="1"/>
    <col min="6407" max="6407" width="10.140625" style="54" customWidth="1"/>
    <col min="6408" max="6408" width="12.42578125" style="54" customWidth="1"/>
    <col min="6409" max="6409" width="10" style="54" customWidth="1"/>
    <col min="6410" max="6410" width="10.85546875" style="54" customWidth="1"/>
    <col min="6411" max="6411" width="11.7109375" style="54" customWidth="1"/>
    <col min="6412" max="6412" width="11" style="54" customWidth="1"/>
    <col min="6413" max="6413" width="10.5703125" style="54" customWidth="1"/>
    <col min="6414" max="6414" width="11" style="54" bestFit="1" customWidth="1"/>
    <col min="6415" max="6415" width="11.28515625" style="54" bestFit="1" customWidth="1"/>
    <col min="6416" max="6416" width="12.140625" style="54" bestFit="1" customWidth="1"/>
    <col min="6417" max="6652" width="9.140625" style="54"/>
    <col min="6653" max="6653" width="46.28515625" style="54" customWidth="1"/>
    <col min="6654" max="6654" width="12.7109375" style="54" customWidth="1"/>
    <col min="6655" max="6657" width="0" style="54" hidden="1" customWidth="1"/>
    <col min="6658" max="6658" width="12.7109375" style="54" customWidth="1"/>
    <col min="6659" max="6659" width="9.42578125" style="54" customWidth="1"/>
    <col min="6660" max="6660" width="10.140625" style="54" customWidth="1"/>
    <col min="6661" max="6661" width="11.28515625" style="54" customWidth="1"/>
    <col min="6662" max="6662" width="10.140625" style="54" bestFit="1" customWidth="1"/>
    <col min="6663" max="6663" width="10.140625" style="54" customWidth="1"/>
    <col min="6664" max="6664" width="12.42578125" style="54" customWidth="1"/>
    <col min="6665" max="6665" width="10" style="54" customWidth="1"/>
    <col min="6666" max="6666" width="10.85546875" style="54" customWidth="1"/>
    <col min="6667" max="6667" width="11.7109375" style="54" customWidth="1"/>
    <col min="6668" max="6668" width="11" style="54" customWidth="1"/>
    <col min="6669" max="6669" width="10.5703125" style="54" customWidth="1"/>
    <col min="6670" max="6670" width="11" style="54" bestFit="1" customWidth="1"/>
    <col min="6671" max="6671" width="11.28515625" style="54" bestFit="1" customWidth="1"/>
    <col min="6672" max="6672" width="12.140625" style="54" bestFit="1" customWidth="1"/>
    <col min="6673" max="6908" width="9.140625" style="54"/>
    <col min="6909" max="6909" width="46.28515625" style="54" customWidth="1"/>
    <col min="6910" max="6910" width="12.7109375" style="54" customWidth="1"/>
    <col min="6911" max="6913" width="0" style="54" hidden="1" customWidth="1"/>
    <col min="6914" max="6914" width="12.7109375" style="54" customWidth="1"/>
    <col min="6915" max="6915" width="9.42578125" style="54" customWidth="1"/>
    <col min="6916" max="6916" width="10.140625" style="54" customWidth="1"/>
    <col min="6917" max="6917" width="11.28515625" style="54" customWidth="1"/>
    <col min="6918" max="6918" width="10.140625" style="54" bestFit="1" customWidth="1"/>
    <col min="6919" max="6919" width="10.140625" style="54" customWidth="1"/>
    <col min="6920" max="6920" width="12.42578125" style="54" customWidth="1"/>
    <col min="6921" max="6921" width="10" style="54" customWidth="1"/>
    <col min="6922" max="6922" width="10.85546875" style="54" customWidth="1"/>
    <col min="6923" max="6923" width="11.7109375" style="54" customWidth="1"/>
    <col min="6924" max="6924" width="11" style="54" customWidth="1"/>
    <col min="6925" max="6925" width="10.5703125" style="54" customWidth="1"/>
    <col min="6926" max="6926" width="11" style="54" bestFit="1" customWidth="1"/>
    <col min="6927" max="6927" width="11.28515625" style="54" bestFit="1" customWidth="1"/>
    <col min="6928" max="6928" width="12.140625" style="54" bestFit="1" customWidth="1"/>
    <col min="6929" max="7164" width="9.140625" style="54"/>
    <col min="7165" max="7165" width="46.28515625" style="54" customWidth="1"/>
    <col min="7166" max="7166" width="12.7109375" style="54" customWidth="1"/>
    <col min="7167" max="7169" width="0" style="54" hidden="1" customWidth="1"/>
    <col min="7170" max="7170" width="12.7109375" style="54" customWidth="1"/>
    <col min="7171" max="7171" width="9.42578125" style="54" customWidth="1"/>
    <col min="7172" max="7172" width="10.140625" style="54" customWidth="1"/>
    <col min="7173" max="7173" width="11.28515625" style="54" customWidth="1"/>
    <col min="7174" max="7174" width="10.140625" style="54" bestFit="1" customWidth="1"/>
    <col min="7175" max="7175" width="10.140625" style="54" customWidth="1"/>
    <col min="7176" max="7176" width="12.42578125" style="54" customWidth="1"/>
    <col min="7177" max="7177" width="10" style="54" customWidth="1"/>
    <col min="7178" max="7178" width="10.85546875" style="54" customWidth="1"/>
    <col min="7179" max="7179" width="11.7109375" style="54" customWidth="1"/>
    <col min="7180" max="7180" width="11" style="54" customWidth="1"/>
    <col min="7181" max="7181" width="10.5703125" style="54" customWidth="1"/>
    <col min="7182" max="7182" width="11" style="54" bestFit="1" customWidth="1"/>
    <col min="7183" max="7183" width="11.28515625" style="54" bestFit="1" customWidth="1"/>
    <col min="7184" max="7184" width="12.140625" style="54" bestFit="1" customWidth="1"/>
    <col min="7185" max="7420" width="9.140625" style="54"/>
    <col min="7421" max="7421" width="46.28515625" style="54" customWidth="1"/>
    <col min="7422" max="7422" width="12.7109375" style="54" customWidth="1"/>
    <col min="7423" max="7425" width="0" style="54" hidden="1" customWidth="1"/>
    <col min="7426" max="7426" width="12.7109375" style="54" customWidth="1"/>
    <col min="7427" max="7427" width="9.42578125" style="54" customWidth="1"/>
    <col min="7428" max="7428" width="10.140625" style="54" customWidth="1"/>
    <col min="7429" max="7429" width="11.28515625" style="54" customWidth="1"/>
    <col min="7430" max="7430" width="10.140625" style="54" bestFit="1" customWidth="1"/>
    <col min="7431" max="7431" width="10.140625" style="54" customWidth="1"/>
    <col min="7432" max="7432" width="12.42578125" style="54" customWidth="1"/>
    <col min="7433" max="7433" width="10" style="54" customWidth="1"/>
    <col min="7434" max="7434" width="10.85546875" style="54" customWidth="1"/>
    <col min="7435" max="7435" width="11.7109375" style="54" customWidth="1"/>
    <col min="7436" max="7436" width="11" style="54" customWidth="1"/>
    <col min="7437" max="7437" width="10.5703125" style="54" customWidth="1"/>
    <col min="7438" max="7438" width="11" style="54" bestFit="1" customWidth="1"/>
    <col min="7439" max="7439" width="11.28515625" style="54" bestFit="1" customWidth="1"/>
    <col min="7440" max="7440" width="12.140625" style="54" bestFit="1" customWidth="1"/>
    <col min="7441" max="7676" width="9.140625" style="54"/>
    <col min="7677" max="7677" width="46.28515625" style="54" customWidth="1"/>
    <col min="7678" max="7678" width="12.7109375" style="54" customWidth="1"/>
    <col min="7679" max="7681" width="0" style="54" hidden="1" customWidth="1"/>
    <col min="7682" max="7682" width="12.7109375" style="54" customWidth="1"/>
    <col min="7683" max="7683" width="9.42578125" style="54" customWidth="1"/>
    <col min="7684" max="7684" width="10.140625" style="54" customWidth="1"/>
    <col min="7685" max="7685" width="11.28515625" style="54" customWidth="1"/>
    <col min="7686" max="7686" width="10.140625" style="54" bestFit="1" customWidth="1"/>
    <col min="7687" max="7687" width="10.140625" style="54" customWidth="1"/>
    <col min="7688" max="7688" width="12.42578125" style="54" customWidth="1"/>
    <col min="7689" max="7689" width="10" style="54" customWidth="1"/>
    <col min="7690" max="7690" width="10.85546875" style="54" customWidth="1"/>
    <col min="7691" max="7691" width="11.7109375" style="54" customWidth="1"/>
    <col min="7692" max="7692" width="11" style="54" customWidth="1"/>
    <col min="7693" max="7693" width="10.5703125" style="54" customWidth="1"/>
    <col min="7694" max="7694" width="11" style="54" bestFit="1" customWidth="1"/>
    <col min="7695" max="7695" width="11.28515625" style="54" bestFit="1" customWidth="1"/>
    <col min="7696" max="7696" width="12.140625" style="54" bestFit="1" customWidth="1"/>
    <col min="7697" max="7932" width="9.140625" style="54"/>
    <col min="7933" max="7933" width="46.28515625" style="54" customWidth="1"/>
    <col min="7934" max="7934" width="12.7109375" style="54" customWidth="1"/>
    <col min="7935" max="7937" width="0" style="54" hidden="1" customWidth="1"/>
    <col min="7938" max="7938" width="12.7109375" style="54" customWidth="1"/>
    <col min="7939" max="7939" width="9.42578125" style="54" customWidth="1"/>
    <col min="7940" max="7940" width="10.140625" style="54" customWidth="1"/>
    <col min="7941" max="7941" width="11.28515625" style="54" customWidth="1"/>
    <col min="7942" max="7942" width="10.140625" style="54" bestFit="1" customWidth="1"/>
    <col min="7943" max="7943" width="10.140625" style="54" customWidth="1"/>
    <col min="7944" max="7944" width="12.42578125" style="54" customWidth="1"/>
    <col min="7945" max="7945" width="10" style="54" customWidth="1"/>
    <col min="7946" max="7946" width="10.85546875" style="54" customWidth="1"/>
    <col min="7947" max="7947" width="11.7109375" style="54" customWidth="1"/>
    <col min="7948" max="7948" width="11" style="54" customWidth="1"/>
    <col min="7949" max="7949" width="10.5703125" style="54" customWidth="1"/>
    <col min="7950" max="7950" width="11" style="54" bestFit="1" customWidth="1"/>
    <col min="7951" max="7951" width="11.28515625" style="54" bestFit="1" customWidth="1"/>
    <col min="7952" max="7952" width="12.140625" style="54" bestFit="1" customWidth="1"/>
    <col min="7953" max="8188" width="9.140625" style="54"/>
    <col min="8189" max="8189" width="46.28515625" style="54" customWidth="1"/>
    <col min="8190" max="8190" width="12.7109375" style="54" customWidth="1"/>
    <col min="8191" max="8193" width="0" style="54" hidden="1" customWidth="1"/>
    <col min="8194" max="8194" width="12.7109375" style="54" customWidth="1"/>
    <col min="8195" max="8195" width="9.42578125" style="54" customWidth="1"/>
    <col min="8196" max="8196" width="10.140625" style="54" customWidth="1"/>
    <col min="8197" max="8197" width="11.28515625" style="54" customWidth="1"/>
    <col min="8198" max="8198" width="10.140625" style="54" bestFit="1" customWidth="1"/>
    <col min="8199" max="8199" width="10.140625" style="54" customWidth="1"/>
    <col min="8200" max="8200" width="12.42578125" style="54" customWidth="1"/>
    <col min="8201" max="8201" width="10" style="54" customWidth="1"/>
    <col min="8202" max="8202" width="10.85546875" style="54" customWidth="1"/>
    <col min="8203" max="8203" width="11.7109375" style="54" customWidth="1"/>
    <col min="8204" max="8204" width="11" style="54" customWidth="1"/>
    <col min="8205" max="8205" width="10.5703125" style="54" customWidth="1"/>
    <col min="8206" max="8206" width="11" style="54" bestFit="1" customWidth="1"/>
    <col min="8207" max="8207" width="11.28515625" style="54" bestFit="1" customWidth="1"/>
    <col min="8208" max="8208" width="12.140625" style="54" bestFit="1" customWidth="1"/>
    <col min="8209" max="8444" width="9.140625" style="54"/>
    <col min="8445" max="8445" width="46.28515625" style="54" customWidth="1"/>
    <col min="8446" max="8446" width="12.7109375" style="54" customWidth="1"/>
    <col min="8447" max="8449" width="0" style="54" hidden="1" customWidth="1"/>
    <col min="8450" max="8450" width="12.7109375" style="54" customWidth="1"/>
    <col min="8451" max="8451" width="9.42578125" style="54" customWidth="1"/>
    <col min="8452" max="8452" width="10.140625" style="54" customWidth="1"/>
    <col min="8453" max="8453" width="11.28515625" style="54" customWidth="1"/>
    <col min="8454" max="8454" width="10.140625" style="54" bestFit="1" customWidth="1"/>
    <col min="8455" max="8455" width="10.140625" style="54" customWidth="1"/>
    <col min="8456" max="8456" width="12.42578125" style="54" customWidth="1"/>
    <col min="8457" max="8457" width="10" style="54" customWidth="1"/>
    <col min="8458" max="8458" width="10.85546875" style="54" customWidth="1"/>
    <col min="8459" max="8459" width="11.7109375" style="54" customWidth="1"/>
    <col min="8460" max="8460" width="11" style="54" customWidth="1"/>
    <col min="8461" max="8461" width="10.5703125" style="54" customWidth="1"/>
    <col min="8462" max="8462" width="11" style="54" bestFit="1" customWidth="1"/>
    <col min="8463" max="8463" width="11.28515625" style="54" bestFit="1" customWidth="1"/>
    <col min="8464" max="8464" width="12.140625" style="54" bestFit="1" customWidth="1"/>
    <col min="8465" max="8700" width="9.140625" style="54"/>
    <col min="8701" max="8701" width="46.28515625" style="54" customWidth="1"/>
    <col min="8702" max="8702" width="12.7109375" style="54" customWidth="1"/>
    <col min="8703" max="8705" width="0" style="54" hidden="1" customWidth="1"/>
    <col min="8706" max="8706" width="12.7109375" style="54" customWidth="1"/>
    <col min="8707" max="8707" width="9.42578125" style="54" customWidth="1"/>
    <col min="8708" max="8708" width="10.140625" style="54" customWidth="1"/>
    <col min="8709" max="8709" width="11.28515625" style="54" customWidth="1"/>
    <col min="8710" max="8710" width="10.140625" style="54" bestFit="1" customWidth="1"/>
    <col min="8711" max="8711" width="10.140625" style="54" customWidth="1"/>
    <col min="8712" max="8712" width="12.42578125" style="54" customWidth="1"/>
    <col min="8713" max="8713" width="10" style="54" customWidth="1"/>
    <col min="8714" max="8714" width="10.85546875" style="54" customWidth="1"/>
    <col min="8715" max="8715" width="11.7109375" style="54" customWidth="1"/>
    <col min="8716" max="8716" width="11" style="54" customWidth="1"/>
    <col min="8717" max="8717" width="10.5703125" style="54" customWidth="1"/>
    <col min="8718" max="8718" width="11" style="54" bestFit="1" customWidth="1"/>
    <col min="8719" max="8719" width="11.28515625" style="54" bestFit="1" customWidth="1"/>
    <col min="8720" max="8720" width="12.140625" style="54" bestFit="1" customWidth="1"/>
    <col min="8721" max="8956" width="9.140625" style="54"/>
    <col min="8957" max="8957" width="46.28515625" style="54" customWidth="1"/>
    <col min="8958" max="8958" width="12.7109375" style="54" customWidth="1"/>
    <col min="8959" max="8961" width="0" style="54" hidden="1" customWidth="1"/>
    <col min="8962" max="8962" width="12.7109375" style="54" customWidth="1"/>
    <col min="8963" max="8963" width="9.42578125" style="54" customWidth="1"/>
    <col min="8964" max="8964" width="10.140625" style="54" customWidth="1"/>
    <col min="8965" max="8965" width="11.28515625" style="54" customWidth="1"/>
    <col min="8966" max="8966" width="10.140625" style="54" bestFit="1" customWidth="1"/>
    <col min="8967" max="8967" width="10.140625" style="54" customWidth="1"/>
    <col min="8968" max="8968" width="12.42578125" style="54" customWidth="1"/>
    <col min="8969" max="8969" width="10" style="54" customWidth="1"/>
    <col min="8970" max="8970" width="10.85546875" style="54" customWidth="1"/>
    <col min="8971" max="8971" width="11.7109375" style="54" customWidth="1"/>
    <col min="8972" max="8972" width="11" style="54" customWidth="1"/>
    <col min="8973" max="8973" width="10.5703125" style="54" customWidth="1"/>
    <col min="8974" max="8974" width="11" style="54" bestFit="1" customWidth="1"/>
    <col min="8975" max="8975" width="11.28515625" style="54" bestFit="1" customWidth="1"/>
    <col min="8976" max="8976" width="12.140625" style="54" bestFit="1" customWidth="1"/>
    <col min="8977" max="9212" width="9.140625" style="54"/>
    <col min="9213" max="9213" width="46.28515625" style="54" customWidth="1"/>
    <col min="9214" max="9214" width="12.7109375" style="54" customWidth="1"/>
    <col min="9215" max="9217" width="0" style="54" hidden="1" customWidth="1"/>
    <col min="9218" max="9218" width="12.7109375" style="54" customWidth="1"/>
    <col min="9219" max="9219" width="9.42578125" style="54" customWidth="1"/>
    <col min="9220" max="9220" width="10.140625" style="54" customWidth="1"/>
    <col min="9221" max="9221" width="11.28515625" style="54" customWidth="1"/>
    <col min="9222" max="9222" width="10.140625" style="54" bestFit="1" customWidth="1"/>
    <col min="9223" max="9223" width="10.140625" style="54" customWidth="1"/>
    <col min="9224" max="9224" width="12.42578125" style="54" customWidth="1"/>
    <col min="9225" max="9225" width="10" style="54" customWidth="1"/>
    <col min="9226" max="9226" width="10.85546875" style="54" customWidth="1"/>
    <col min="9227" max="9227" width="11.7109375" style="54" customWidth="1"/>
    <col min="9228" max="9228" width="11" style="54" customWidth="1"/>
    <col min="9229" max="9229" width="10.5703125" style="54" customWidth="1"/>
    <col min="9230" max="9230" width="11" style="54" bestFit="1" customWidth="1"/>
    <col min="9231" max="9231" width="11.28515625" style="54" bestFit="1" customWidth="1"/>
    <col min="9232" max="9232" width="12.140625" style="54" bestFit="1" customWidth="1"/>
    <col min="9233" max="9468" width="9.140625" style="54"/>
    <col min="9469" max="9469" width="46.28515625" style="54" customWidth="1"/>
    <col min="9470" max="9470" width="12.7109375" style="54" customWidth="1"/>
    <col min="9471" max="9473" width="0" style="54" hidden="1" customWidth="1"/>
    <col min="9474" max="9474" width="12.7109375" style="54" customWidth="1"/>
    <col min="9475" max="9475" width="9.42578125" style="54" customWidth="1"/>
    <col min="9476" max="9476" width="10.140625" style="54" customWidth="1"/>
    <col min="9477" max="9477" width="11.28515625" style="54" customWidth="1"/>
    <col min="9478" max="9478" width="10.140625" style="54" bestFit="1" customWidth="1"/>
    <col min="9479" max="9479" width="10.140625" style="54" customWidth="1"/>
    <col min="9480" max="9480" width="12.42578125" style="54" customWidth="1"/>
    <col min="9481" max="9481" width="10" style="54" customWidth="1"/>
    <col min="9482" max="9482" width="10.85546875" style="54" customWidth="1"/>
    <col min="9483" max="9483" width="11.7109375" style="54" customWidth="1"/>
    <col min="9484" max="9484" width="11" style="54" customWidth="1"/>
    <col min="9485" max="9485" width="10.5703125" style="54" customWidth="1"/>
    <col min="9486" max="9486" width="11" style="54" bestFit="1" customWidth="1"/>
    <col min="9487" max="9487" width="11.28515625" style="54" bestFit="1" customWidth="1"/>
    <col min="9488" max="9488" width="12.140625" style="54" bestFit="1" customWidth="1"/>
    <col min="9489" max="9724" width="9.140625" style="54"/>
    <col min="9725" max="9725" width="46.28515625" style="54" customWidth="1"/>
    <col min="9726" max="9726" width="12.7109375" style="54" customWidth="1"/>
    <col min="9727" max="9729" width="0" style="54" hidden="1" customWidth="1"/>
    <col min="9730" max="9730" width="12.7109375" style="54" customWidth="1"/>
    <col min="9731" max="9731" width="9.42578125" style="54" customWidth="1"/>
    <col min="9732" max="9732" width="10.140625" style="54" customWidth="1"/>
    <col min="9733" max="9733" width="11.28515625" style="54" customWidth="1"/>
    <col min="9734" max="9734" width="10.140625" style="54" bestFit="1" customWidth="1"/>
    <col min="9735" max="9735" width="10.140625" style="54" customWidth="1"/>
    <col min="9736" max="9736" width="12.42578125" style="54" customWidth="1"/>
    <col min="9737" max="9737" width="10" style="54" customWidth="1"/>
    <col min="9738" max="9738" width="10.85546875" style="54" customWidth="1"/>
    <col min="9739" max="9739" width="11.7109375" style="54" customWidth="1"/>
    <col min="9740" max="9740" width="11" style="54" customWidth="1"/>
    <col min="9741" max="9741" width="10.5703125" style="54" customWidth="1"/>
    <col min="9742" max="9742" width="11" style="54" bestFit="1" customWidth="1"/>
    <col min="9743" max="9743" width="11.28515625" style="54" bestFit="1" customWidth="1"/>
    <col min="9744" max="9744" width="12.140625" style="54" bestFit="1" customWidth="1"/>
    <col min="9745" max="9980" width="9.140625" style="54"/>
    <col min="9981" max="9981" width="46.28515625" style="54" customWidth="1"/>
    <col min="9982" max="9982" width="12.7109375" style="54" customWidth="1"/>
    <col min="9983" max="9985" width="0" style="54" hidden="1" customWidth="1"/>
    <col min="9986" max="9986" width="12.7109375" style="54" customWidth="1"/>
    <col min="9987" max="9987" width="9.42578125" style="54" customWidth="1"/>
    <col min="9988" max="9988" width="10.140625" style="54" customWidth="1"/>
    <col min="9989" max="9989" width="11.28515625" style="54" customWidth="1"/>
    <col min="9990" max="9990" width="10.140625" style="54" bestFit="1" customWidth="1"/>
    <col min="9991" max="9991" width="10.140625" style="54" customWidth="1"/>
    <col min="9992" max="9992" width="12.42578125" style="54" customWidth="1"/>
    <col min="9993" max="9993" width="10" style="54" customWidth="1"/>
    <col min="9994" max="9994" width="10.85546875" style="54" customWidth="1"/>
    <col min="9995" max="9995" width="11.7109375" style="54" customWidth="1"/>
    <col min="9996" max="9996" width="11" style="54" customWidth="1"/>
    <col min="9997" max="9997" width="10.5703125" style="54" customWidth="1"/>
    <col min="9998" max="9998" width="11" style="54" bestFit="1" customWidth="1"/>
    <col min="9999" max="9999" width="11.28515625" style="54" bestFit="1" customWidth="1"/>
    <col min="10000" max="10000" width="12.140625" style="54" bestFit="1" customWidth="1"/>
    <col min="10001" max="10236" width="9.140625" style="54"/>
    <col min="10237" max="10237" width="46.28515625" style="54" customWidth="1"/>
    <col min="10238" max="10238" width="12.7109375" style="54" customWidth="1"/>
    <col min="10239" max="10241" width="0" style="54" hidden="1" customWidth="1"/>
    <col min="10242" max="10242" width="12.7109375" style="54" customWidth="1"/>
    <col min="10243" max="10243" width="9.42578125" style="54" customWidth="1"/>
    <col min="10244" max="10244" width="10.140625" style="54" customWidth="1"/>
    <col min="10245" max="10245" width="11.28515625" style="54" customWidth="1"/>
    <col min="10246" max="10246" width="10.140625" style="54" bestFit="1" customWidth="1"/>
    <col min="10247" max="10247" width="10.140625" style="54" customWidth="1"/>
    <col min="10248" max="10248" width="12.42578125" style="54" customWidth="1"/>
    <col min="10249" max="10249" width="10" style="54" customWidth="1"/>
    <col min="10250" max="10250" width="10.85546875" style="54" customWidth="1"/>
    <col min="10251" max="10251" width="11.7109375" style="54" customWidth="1"/>
    <col min="10252" max="10252" width="11" style="54" customWidth="1"/>
    <col min="10253" max="10253" width="10.5703125" style="54" customWidth="1"/>
    <col min="10254" max="10254" width="11" style="54" bestFit="1" customWidth="1"/>
    <col min="10255" max="10255" width="11.28515625" style="54" bestFit="1" customWidth="1"/>
    <col min="10256" max="10256" width="12.140625" style="54" bestFit="1" customWidth="1"/>
    <col min="10257" max="10492" width="9.140625" style="54"/>
    <col min="10493" max="10493" width="46.28515625" style="54" customWidth="1"/>
    <col min="10494" max="10494" width="12.7109375" style="54" customWidth="1"/>
    <col min="10495" max="10497" width="0" style="54" hidden="1" customWidth="1"/>
    <col min="10498" max="10498" width="12.7109375" style="54" customWidth="1"/>
    <col min="10499" max="10499" width="9.42578125" style="54" customWidth="1"/>
    <col min="10500" max="10500" width="10.140625" style="54" customWidth="1"/>
    <col min="10501" max="10501" width="11.28515625" style="54" customWidth="1"/>
    <col min="10502" max="10502" width="10.140625" style="54" bestFit="1" customWidth="1"/>
    <col min="10503" max="10503" width="10.140625" style="54" customWidth="1"/>
    <col min="10504" max="10504" width="12.42578125" style="54" customWidth="1"/>
    <col min="10505" max="10505" width="10" style="54" customWidth="1"/>
    <col min="10506" max="10506" width="10.85546875" style="54" customWidth="1"/>
    <col min="10507" max="10507" width="11.7109375" style="54" customWidth="1"/>
    <col min="10508" max="10508" width="11" style="54" customWidth="1"/>
    <col min="10509" max="10509" width="10.5703125" style="54" customWidth="1"/>
    <col min="10510" max="10510" width="11" style="54" bestFit="1" customWidth="1"/>
    <col min="10511" max="10511" width="11.28515625" style="54" bestFit="1" customWidth="1"/>
    <col min="10512" max="10512" width="12.140625" style="54" bestFit="1" customWidth="1"/>
    <col min="10513" max="10748" width="9.140625" style="54"/>
    <col min="10749" max="10749" width="46.28515625" style="54" customWidth="1"/>
    <col min="10750" max="10750" width="12.7109375" style="54" customWidth="1"/>
    <col min="10751" max="10753" width="0" style="54" hidden="1" customWidth="1"/>
    <col min="10754" max="10754" width="12.7109375" style="54" customWidth="1"/>
    <col min="10755" max="10755" width="9.42578125" style="54" customWidth="1"/>
    <col min="10756" max="10756" width="10.140625" style="54" customWidth="1"/>
    <col min="10757" max="10757" width="11.28515625" style="54" customWidth="1"/>
    <col min="10758" max="10758" width="10.140625" style="54" bestFit="1" customWidth="1"/>
    <col min="10759" max="10759" width="10.140625" style="54" customWidth="1"/>
    <col min="10760" max="10760" width="12.42578125" style="54" customWidth="1"/>
    <col min="10761" max="10761" width="10" style="54" customWidth="1"/>
    <col min="10762" max="10762" width="10.85546875" style="54" customWidth="1"/>
    <col min="10763" max="10763" width="11.7109375" style="54" customWidth="1"/>
    <col min="10764" max="10764" width="11" style="54" customWidth="1"/>
    <col min="10765" max="10765" width="10.5703125" style="54" customWidth="1"/>
    <col min="10766" max="10766" width="11" style="54" bestFit="1" customWidth="1"/>
    <col min="10767" max="10767" width="11.28515625" style="54" bestFit="1" customWidth="1"/>
    <col min="10768" max="10768" width="12.140625" style="54" bestFit="1" customWidth="1"/>
    <col min="10769" max="11004" width="9.140625" style="54"/>
    <col min="11005" max="11005" width="46.28515625" style="54" customWidth="1"/>
    <col min="11006" max="11006" width="12.7109375" style="54" customWidth="1"/>
    <col min="11007" max="11009" width="0" style="54" hidden="1" customWidth="1"/>
    <col min="11010" max="11010" width="12.7109375" style="54" customWidth="1"/>
    <col min="11011" max="11011" width="9.42578125" style="54" customWidth="1"/>
    <col min="11012" max="11012" width="10.140625" style="54" customWidth="1"/>
    <col min="11013" max="11013" width="11.28515625" style="54" customWidth="1"/>
    <col min="11014" max="11014" width="10.140625" style="54" bestFit="1" customWidth="1"/>
    <col min="11015" max="11015" width="10.140625" style="54" customWidth="1"/>
    <col min="11016" max="11016" width="12.42578125" style="54" customWidth="1"/>
    <col min="11017" max="11017" width="10" style="54" customWidth="1"/>
    <col min="11018" max="11018" width="10.85546875" style="54" customWidth="1"/>
    <col min="11019" max="11019" width="11.7109375" style="54" customWidth="1"/>
    <col min="11020" max="11020" width="11" style="54" customWidth="1"/>
    <col min="11021" max="11021" width="10.5703125" style="54" customWidth="1"/>
    <col min="11022" max="11022" width="11" style="54" bestFit="1" customWidth="1"/>
    <col min="11023" max="11023" width="11.28515625" style="54" bestFit="1" customWidth="1"/>
    <col min="11024" max="11024" width="12.140625" style="54" bestFit="1" customWidth="1"/>
    <col min="11025" max="11260" width="9.140625" style="54"/>
    <col min="11261" max="11261" width="46.28515625" style="54" customWidth="1"/>
    <col min="11262" max="11262" width="12.7109375" style="54" customWidth="1"/>
    <col min="11263" max="11265" width="0" style="54" hidden="1" customWidth="1"/>
    <col min="11266" max="11266" width="12.7109375" style="54" customWidth="1"/>
    <col min="11267" max="11267" width="9.42578125" style="54" customWidth="1"/>
    <col min="11268" max="11268" width="10.140625" style="54" customWidth="1"/>
    <col min="11269" max="11269" width="11.28515625" style="54" customWidth="1"/>
    <col min="11270" max="11270" width="10.140625" style="54" bestFit="1" customWidth="1"/>
    <col min="11271" max="11271" width="10.140625" style="54" customWidth="1"/>
    <col min="11272" max="11272" width="12.42578125" style="54" customWidth="1"/>
    <col min="11273" max="11273" width="10" style="54" customWidth="1"/>
    <col min="11274" max="11274" width="10.85546875" style="54" customWidth="1"/>
    <col min="11275" max="11275" width="11.7109375" style="54" customWidth="1"/>
    <col min="11276" max="11276" width="11" style="54" customWidth="1"/>
    <col min="11277" max="11277" width="10.5703125" style="54" customWidth="1"/>
    <col min="11278" max="11278" width="11" style="54" bestFit="1" customWidth="1"/>
    <col min="11279" max="11279" width="11.28515625" style="54" bestFit="1" customWidth="1"/>
    <col min="11280" max="11280" width="12.140625" style="54" bestFit="1" customWidth="1"/>
    <col min="11281" max="11516" width="9.140625" style="54"/>
    <col min="11517" max="11517" width="46.28515625" style="54" customWidth="1"/>
    <col min="11518" max="11518" width="12.7109375" style="54" customWidth="1"/>
    <col min="11519" max="11521" width="0" style="54" hidden="1" customWidth="1"/>
    <col min="11522" max="11522" width="12.7109375" style="54" customWidth="1"/>
    <col min="11523" max="11523" width="9.42578125" style="54" customWidth="1"/>
    <col min="11524" max="11524" width="10.140625" style="54" customWidth="1"/>
    <col min="11525" max="11525" width="11.28515625" style="54" customWidth="1"/>
    <col min="11526" max="11526" width="10.140625" style="54" bestFit="1" customWidth="1"/>
    <col min="11527" max="11527" width="10.140625" style="54" customWidth="1"/>
    <col min="11528" max="11528" width="12.42578125" style="54" customWidth="1"/>
    <col min="11529" max="11529" width="10" style="54" customWidth="1"/>
    <col min="11530" max="11530" width="10.85546875" style="54" customWidth="1"/>
    <col min="11531" max="11531" width="11.7109375" style="54" customWidth="1"/>
    <col min="11532" max="11532" width="11" style="54" customWidth="1"/>
    <col min="11533" max="11533" width="10.5703125" style="54" customWidth="1"/>
    <col min="11534" max="11534" width="11" style="54" bestFit="1" customWidth="1"/>
    <col min="11535" max="11535" width="11.28515625" style="54" bestFit="1" customWidth="1"/>
    <col min="11536" max="11536" width="12.140625" style="54" bestFit="1" customWidth="1"/>
    <col min="11537" max="11772" width="9.140625" style="54"/>
    <col min="11773" max="11773" width="46.28515625" style="54" customWidth="1"/>
    <col min="11774" max="11774" width="12.7109375" style="54" customWidth="1"/>
    <col min="11775" max="11777" width="0" style="54" hidden="1" customWidth="1"/>
    <col min="11778" max="11778" width="12.7109375" style="54" customWidth="1"/>
    <col min="11779" max="11779" width="9.42578125" style="54" customWidth="1"/>
    <col min="11780" max="11780" width="10.140625" style="54" customWidth="1"/>
    <col min="11781" max="11781" width="11.28515625" style="54" customWidth="1"/>
    <col min="11782" max="11782" width="10.140625" style="54" bestFit="1" customWidth="1"/>
    <col min="11783" max="11783" width="10.140625" style="54" customWidth="1"/>
    <col min="11784" max="11784" width="12.42578125" style="54" customWidth="1"/>
    <col min="11785" max="11785" width="10" style="54" customWidth="1"/>
    <col min="11786" max="11786" width="10.85546875" style="54" customWidth="1"/>
    <col min="11787" max="11787" width="11.7109375" style="54" customWidth="1"/>
    <col min="11788" max="11788" width="11" style="54" customWidth="1"/>
    <col min="11789" max="11789" width="10.5703125" style="54" customWidth="1"/>
    <col min="11790" max="11790" width="11" style="54" bestFit="1" customWidth="1"/>
    <col min="11791" max="11791" width="11.28515625" style="54" bestFit="1" customWidth="1"/>
    <col min="11792" max="11792" width="12.140625" style="54" bestFit="1" customWidth="1"/>
    <col min="11793" max="12028" width="9.140625" style="54"/>
    <col min="12029" max="12029" width="46.28515625" style="54" customWidth="1"/>
    <col min="12030" max="12030" width="12.7109375" style="54" customWidth="1"/>
    <col min="12031" max="12033" width="0" style="54" hidden="1" customWidth="1"/>
    <col min="12034" max="12034" width="12.7109375" style="54" customWidth="1"/>
    <col min="12035" max="12035" width="9.42578125" style="54" customWidth="1"/>
    <col min="12036" max="12036" width="10.140625" style="54" customWidth="1"/>
    <col min="12037" max="12037" width="11.28515625" style="54" customWidth="1"/>
    <col min="12038" max="12038" width="10.140625" style="54" bestFit="1" customWidth="1"/>
    <col min="12039" max="12039" width="10.140625" style="54" customWidth="1"/>
    <col min="12040" max="12040" width="12.42578125" style="54" customWidth="1"/>
    <col min="12041" max="12041" width="10" style="54" customWidth="1"/>
    <col min="12042" max="12042" width="10.85546875" style="54" customWidth="1"/>
    <col min="12043" max="12043" width="11.7109375" style="54" customWidth="1"/>
    <col min="12044" max="12044" width="11" style="54" customWidth="1"/>
    <col min="12045" max="12045" width="10.5703125" style="54" customWidth="1"/>
    <col min="12046" max="12046" width="11" style="54" bestFit="1" customWidth="1"/>
    <col min="12047" max="12047" width="11.28515625" style="54" bestFit="1" customWidth="1"/>
    <col min="12048" max="12048" width="12.140625" style="54" bestFit="1" customWidth="1"/>
    <col min="12049" max="12284" width="9.140625" style="54"/>
    <col min="12285" max="12285" width="46.28515625" style="54" customWidth="1"/>
    <col min="12286" max="12286" width="12.7109375" style="54" customWidth="1"/>
    <col min="12287" max="12289" width="0" style="54" hidden="1" customWidth="1"/>
    <col min="12290" max="12290" width="12.7109375" style="54" customWidth="1"/>
    <col min="12291" max="12291" width="9.42578125" style="54" customWidth="1"/>
    <col min="12292" max="12292" width="10.140625" style="54" customWidth="1"/>
    <col min="12293" max="12293" width="11.28515625" style="54" customWidth="1"/>
    <col min="12294" max="12294" width="10.140625" style="54" bestFit="1" customWidth="1"/>
    <col min="12295" max="12295" width="10.140625" style="54" customWidth="1"/>
    <col min="12296" max="12296" width="12.42578125" style="54" customWidth="1"/>
    <col min="12297" max="12297" width="10" style="54" customWidth="1"/>
    <col min="12298" max="12298" width="10.85546875" style="54" customWidth="1"/>
    <col min="12299" max="12299" width="11.7109375" style="54" customWidth="1"/>
    <col min="12300" max="12300" width="11" style="54" customWidth="1"/>
    <col min="12301" max="12301" width="10.5703125" style="54" customWidth="1"/>
    <col min="12302" max="12302" width="11" style="54" bestFit="1" customWidth="1"/>
    <col min="12303" max="12303" width="11.28515625" style="54" bestFit="1" customWidth="1"/>
    <col min="12304" max="12304" width="12.140625" style="54" bestFit="1" customWidth="1"/>
    <col min="12305" max="12540" width="9.140625" style="54"/>
    <col min="12541" max="12541" width="46.28515625" style="54" customWidth="1"/>
    <col min="12542" max="12542" width="12.7109375" style="54" customWidth="1"/>
    <col min="12543" max="12545" width="0" style="54" hidden="1" customWidth="1"/>
    <col min="12546" max="12546" width="12.7109375" style="54" customWidth="1"/>
    <col min="12547" max="12547" width="9.42578125" style="54" customWidth="1"/>
    <col min="12548" max="12548" width="10.140625" style="54" customWidth="1"/>
    <col min="12549" max="12549" width="11.28515625" style="54" customWidth="1"/>
    <col min="12550" max="12550" width="10.140625" style="54" bestFit="1" customWidth="1"/>
    <col min="12551" max="12551" width="10.140625" style="54" customWidth="1"/>
    <col min="12552" max="12552" width="12.42578125" style="54" customWidth="1"/>
    <col min="12553" max="12553" width="10" style="54" customWidth="1"/>
    <col min="12554" max="12554" width="10.85546875" style="54" customWidth="1"/>
    <col min="12555" max="12555" width="11.7109375" style="54" customWidth="1"/>
    <col min="12556" max="12556" width="11" style="54" customWidth="1"/>
    <col min="12557" max="12557" width="10.5703125" style="54" customWidth="1"/>
    <col min="12558" max="12558" width="11" style="54" bestFit="1" customWidth="1"/>
    <col min="12559" max="12559" width="11.28515625" style="54" bestFit="1" customWidth="1"/>
    <col min="12560" max="12560" width="12.140625" style="54" bestFit="1" customWidth="1"/>
    <col min="12561" max="12796" width="9.140625" style="54"/>
    <col min="12797" max="12797" width="46.28515625" style="54" customWidth="1"/>
    <col min="12798" max="12798" width="12.7109375" style="54" customWidth="1"/>
    <col min="12799" max="12801" width="0" style="54" hidden="1" customWidth="1"/>
    <col min="12802" max="12802" width="12.7109375" style="54" customWidth="1"/>
    <col min="12803" max="12803" width="9.42578125" style="54" customWidth="1"/>
    <col min="12804" max="12804" width="10.140625" style="54" customWidth="1"/>
    <col min="12805" max="12805" width="11.28515625" style="54" customWidth="1"/>
    <col min="12806" max="12806" width="10.140625" style="54" bestFit="1" customWidth="1"/>
    <col min="12807" max="12807" width="10.140625" style="54" customWidth="1"/>
    <col min="12808" max="12808" width="12.42578125" style="54" customWidth="1"/>
    <col min="12809" max="12809" width="10" style="54" customWidth="1"/>
    <col min="12810" max="12810" width="10.85546875" style="54" customWidth="1"/>
    <col min="12811" max="12811" width="11.7109375" style="54" customWidth="1"/>
    <col min="12812" max="12812" width="11" style="54" customWidth="1"/>
    <col min="12813" max="12813" width="10.5703125" style="54" customWidth="1"/>
    <col min="12814" max="12814" width="11" style="54" bestFit="1" customWidth="1"/>
    <col min="12815" max="12815" width="11.28515625" style="54" bestFit="1" customWidth="1"/>
    <col min="12816" max="12816" width="12.140625" style="54" bestFit="1" customWidth="1"/>
    <col min="12817" max="13052" width="9.140625" style="54"/>
    <col min="13053" max="13053" width="46.28515625" style="54" customWidth="1"/>
    <col min="13054" max="13054" width="12.7109375" style="54" customWidth="1"/>
    <col min="13055" max="13057" width="0" style="54" hidden="1" customWidth="1"/>
    <col min="13058" max="13058" width="12.7109375" style="54" customWidth="1"/>
    <col min="13059" max="13059" width="9.42578125" style="54" customWidth="1"/>
    <col min="13060" max="13060" width="10.140625" style="54" customWidth="1"/>
    <col min="13061" max="13061" width="11.28515625" style="54" customWidth="1"/>
    <col min="13062" max="13062" width="10.140625" style="54" bestFit="1" customWidth="1"/>
    <col min="13063" max="13063" width="10.140625" style="54" customWidth="1"/>
    <col min="13064" max="13064" width="12.42578125" style="54" customWidth="1"/>
    <col min="13065" max="13065" width="10" style="54" customWidth="1"/>
    <col min="13066" max="13066" width="10.85546875" style="54" customWidth="1"/>
    <col min="13067" max="13067" width="11.7109375" style="54" customWidth="1"/>
    <col min="13068" max="13068" width="11" style="54" customWidth="1"/>
    <col min="13069" max="13069" width="10.5703125" style="54" customWidth="1"/>
    <col min="13070" max="13070" width="11" style="54" bestFit="1" customWidth="1"/>
    <col min="13071" max="13071" width="11.28515625" style="54" bestFit="1" customWidth="1"/>
    <col min="13072" max="13072" width="12.140625" style="54" bestFit="1" customWidth="1"/>
    <col min="13073" max="13308" width="9.140625" style="54"/>
    <col min="13309" max="13309" width="46.28515625" style="54" customWidth="1"/>
    <col min="13310" max="13310" width="12.7109375" style="54" customWidth="1"/>
    <col min="13311" max="13313" width="0" style="54" hidden="1" customWidth="1"/>
    <col min="13314" max="13314" width="12.7109375" style="54" customWidth="1"/>
    <col min="13315" max="13315" width="9.42578125" style="54" customWidth="1"/>
    <col min="13316" max="13316" width="10.140625" style="54" customWidth="1"/>
    <col min="13317" max="13317" width="11.28515625" style="54" customWidth="1"/>
    <col min="13318" max="13318" width="10.140625" style="54" bestFit="1" customWidth="1"/>
    <col min="13319" max="13319" width="10.140625" style="54" customWidth="1"/>
    <col min="13320" max="13320" width="12.42578125" style="54" customWidth="1"/>
    <col min="13321" max="13321" width="10" style="54" customWidth="1"/>
    <col min="13322" max="13322" width="10.85546875" style="54" customWidth="1"/>
    <col min="13323" max="13323" width="11.7109375" style="54" customWidth="1"/>
    <col min="13324" max="13324" width="11" style="54" customWidth="1"/>
    <col min="13325" max="13325" width="10.5703125" style="54" customWidth="1"/>
    <col min="13326" max="13326" width="11" style="54" bestFit="1" customWidth="1"/>
    <col min="13327" max="13327" width="11.28515625" style="54" bestFit="1" customWidth="1"/>
    <col min="13328" max="13328" width="12.140625" style="54" bestFit="1" customWidth="1"/>
    <col min="13329" max="13564" width="9.140625" style="54"/>
    <col min="13565" max="13565" width="46.28515625" style="54" customWidth="1"/>
    <col min="13566" max="13566" width="12.7109375" style="54" customWidth="1"/>
    <col min="13567" max="13569" width="0" style="54" hidden="1" customWidth="1"/>
    <col min="13570" max="13570" width="12.7109375" style="54" customWidth="1"/>
    <col min="13571" max="13571" width="9.42578125" style="54" customWidth="1"/>
    <col min="13572" max="13572" width="10.140625" style="54" customWidth="1"/>
    <col min="13573" max="13573" width="11.28515625" style="54" customWidth="1"/>
    <col min="13574" max="13574" width="10.140625" style="54" bestFit="1" customWidth="1"/>
    <col min="13575" max="13575" width="10.140625" style="54" customWidth="1"/>
    <col min="13576" max="13576" width="12.42578125" style="54" customWidth="1"/>
    <col min="13577" max="13577" width="10" style="54" customWidth="1"/>
    <col min="13578" max="13578" width="10.85546875" style="54" customWidth="1"/>
    <col min="13579" max="13579" width="11.7109375" style="54" customWidth="1"/>
    <col min="13580" max="13580" width="11" style="54" customWidth="1"/>
    <col min="13581" max="13581" width="10.5703125" style="54" customWidth="1"/>
    <col min="13582" max="13582" width="11" style="54" bestFit="1" customWidth="1"/>
    <col min="13583" max="13583" width="11.28515625" style="54" bestFit="1" customWidth="1"/>
    <col min="13584" max="13584" width="12.140625" style="54" bestFit="1" customWidth="1"/>
    <col min="13585" max="13820" width="9.140625" style="54"/>
    <col min="13821" max="13821" width="46.28515625" style="54" customWidth="1"/>
    <col min="13822" max="13822" width="12.7109375" style="54" customWidth="1"/>
    <col min="13823" max="13825" width="0" style="54" hidden="1" customWidth="1"/>
    <col min="13826" max="13826" width="12.7109375" style="54" customWidth="1"/>
    <col min="13827" max="13827" width="9.42578125" style="54" customWidth="1"/>
    <col min="13828" max="13828" width="10.140625" style="54" customWidth="1"/>
    <col min="13829" max="13829" width="11.28515625" style="54" customWidth="1"/>
    <col min="13830" max="13830" width="10.140625" style="54" bestFit="1" customWidth="1"/>
    <col min="13831" max="13831" width="10.140625" style="54" customWidth="1"/>
    <col min="13832" max="13832" width="12.42578125" style="54" customWidth="1"/>
    <col min="13833" max="13833" width="10" style="54" customWidth="1"/>
    <col min="13834" max="13834" width="10.85546875" style="54" customWidth="1"/>
    <col min="13835" max="13835" width="11.7109375" style="54" customWidth="1"/>
    <col min="13836" max="13836" width="11" style="54" customWidth="1"/>
    <col min="13837" max="13837" width="10.5703125" style="54" customWidth="1"/>
    <col min="13838" max="13838" width="11" style="54" bestFit="1" customWidth="1"/>
    <col min="13839" max="13839" width="11.28515625" style="54" bestFit="1" customWidth="1"/>
    <col min="13840" max="13840" width="12.140625" style="54" bestFit="1" customWidth="1"/>
    <col min="13841" max="14076" width="9.140625" style="54"/>
    <col min="14077" max="14077" width="46.28515625" style="54" customWidth="1"/>
    <col min="14078" max="14078" width="12.7109375" style="54" customWidth="1"/>
    <col min="14079" max="14081" width="0" style="54" hidden="1" customWidth="1"/>
    <col min="14082" max="14082" width="12.7109375" style="54" customWidth="1"/>
    <col min="14083" max="14083" width="9.42578125" style="54" customWidth="1"/>
    <col min="14084" max="14084" width="10.140625" style="54" customWidth="1"/>
    <col min="14085" max="14085" width="11.28515625" style="54" customWidth="1"/>
    <col min="14086" max="14086" width="10.140625" style="54" bestFit="1" customWidth="1"/>
    <col min="14087" max="14087" width="10.140625" style="54" customWidth="1"/>
    <col min="14088" max="14088" width="12.42578125" style="54" customWidth="1"/>
    <col min="14089" max="14089" width="10" style="54" customWidth="1"/>
    <col min="14090" max="14090" width="10.85546875" style="54" customWidth="1"/>
    <col min="14091" max="14091" width="11.7109375" style="54" customWidth="1"/>
    <col min="14092" max="14092" width="11" style="54" customWidth="1"/>
    <col min="14093" max="14093" width="10.5703125" style="54" customWidth="1"/>
    <col min="14094" max="14094" width="11" style="54" bestFit="1" customWidth="1"/>
    <col min="14095" max="14095" width="11.28515625" style="54" bestFit="1" customWidth="1"/>
    <col min="14096" max="14096" width="12.140625" style="54" bestFit="1" customWidth="1"/>
    <col min="14097" max="14332" width="9.140625" style="54"/>
    <col min="14333" max="14333" width="46.28515625" style="54" customWidth="1"/>
    <col min="14334" max="14334" width="12.7109375" style="54" customWidth="1"/>
    <col min="14335" max="14337" width="0" style="54" hidden="1" customWidth="1"/>
    <col min="14338" max="14338" width="12.7109375" style="54" customWidth="1"/>
    <col min="14339" max="14339" width="9.42578125" style="54" customWidth="1"/>
    <col min="14340" max="14340" width="10.140625" style="54" customWidth="1"/>
    <col min="14341" max="14341" width="11.28515625" style="54" customWidth="1"/>
    <col min="14342" max="14342" width="10.140625" style="54" bestFit="1" customWidth="1"/>
    <col min="14343" max="14343" width="10.140625" style="54" customWidth="1"/>
    <col min="14344" max="14344" width="12.42578125" style="54" customWidth="1"/>
    <col min="14345" max="14345" width="10" style="54" customWidth="1"/>
    <col min="14346" max="14346" width="10.85546875" style="54" customWidth="1"/>
    <col min="14347" max="14347" width="11.7109375" style="54" customWidth="1"/>
    <col min="14348" max="14348" width="11" style="54" customWidth="1"/>
    <col min="14349" max="14349" width="10.5703125" style="54" customWidth="1"/>
    <col min="14350" max="14350" width="11" style="54" bestFit="1" customWidth="1"/>
    <col min="14351" max="14351" width="11.28515625" style="54" bestFit="1" customWidth="1"/>
    <col min="14352" max="14352" width="12.140625" style="54" bestFit="1" customWidth="1"/>
    <col min="14353" max="14588" width="9.140625" style="54"/>
    <col min="14589" max="14589" width="46.28515625" style="54" customWidth="1"/>
    <col min="14590" max="14590" width="12.7109375" style="54" customWidth="1"/>
    <col min="14591" max="14593" width="0" style="54" hidden="1" customWidth="1"/>
    <col min="14594" max="14594" width="12.7109375" style="54" customWidth="1"/>
    <col min="14595" max="14595" width="9.42578125" style="54" customWidth="1"/>
    <col min="14596" max="14596" width="10.140625" style="54" customWidth="1"/>
    <col min="14597" max="14597" width="11.28515625" style="54" customWidth="1"/>
    <col min="14598" max="14598" width="10.140625" style="54" bestFit="1" customWidth="1"/>
    <col min="14599" max="14599" width="10.140625" style="54" customWidth="1"/>
    <col min="14600" max="14600" width="12.42578125" style="54" customWidth="1"/>
    <col min="14601" max="14601" width="10" style="54" customWidth="1"/>
    <col min="14602" max="14602" width="10.85546875" style="54" customWidth="1"/>
    <col min="14603" max="14603" width="11.7109375" style="54" customWidth="1"/>
    <col min="14604" max="14604" width="11" style="54" customWidth="1"/>
    <col min="14605" max="14605" width="10.5703125" style="54" customWidth="1"/>
    <col min="14606" max="14606" width="11" style="54" bestFit="1" customWidth="1"/>
    <col min="14607" max="14607" width="11.28515625" style="54" bestFit="1" customWidth="1"/>
    <col min="14608" max="14608" width="12.140625" style="54" bestFit="1" customWidth="1"/>
    <col min="14609" max="14844" width="9.140625" style="54"/>
    <col min="14845" max="14845" width="46.28515625" style="54" customWidth="1"/>
    <col min="14846" max="14846" width="12.7109375" style="54" customWidth="1"/>
    <col min="14847" max="14849" width="0" style="54" hidden="1" customWidth="1"/>
    <col min="14850" max="14850" width="12.7109375" style="54" customWidth="1"/>
    <col min="14851" max="14851" width="9.42578125" style="54" customWidth="1"/>
    <col min="14852" max="14852" width="10.140625" style="54" customWidth="1"/>
    <col min="14853" max="14853" width="11.28515625" style="54" customWidth="1"/>
    <col min="14854" max="14854" width="10.140625" style="54" bestFit="1" customWidth="1"/>
    <col min="14855" max="14855" width="10.140625" style="54" customWidth="1"/>
    <col min="14856" max="14856" width="12.42578125" style="54" customWidth="1"/>
    <col min="14857" max="14857" width="10" style="54" customWidth="1"/>
    <col min="14858" max="14858" width="10.85546875" style="54" customWidth="1"/>
    <col min="14859" max="14859" width="11.7109375" style="54" customWidth="1"/>
    <col min="14860" max="14860" width="11" style="54" customWidth="1"/>
    <col min="14861" max="14861" width="10.5703125" style="54" customWidth="1"/>
    <col min="14862" max="14862" width="11" style="54" bestFit="1" customWidth="1"/>
    <col min="14863" max="14863" width="11.28515625" style="54" bestFit="1" customWidth="1"/>
    <col min="14864" max="14864" width="12.140625" style="54" bestFit="1" customWidth="1"/>
    <col min="14865" max="15100" width="9.140625" style="54"/>
    <col min="15101" max="15101" width="46.28515625" style="54" customWidth="1"/>
    <col min="15102" max="15102" width="12.7109375" style="54" customWidth="1"/>
    <col min="15103" max="15105" width="0" style="54" hidden="1" customWidth="1"/>
    <col min="15106" max="15106" width="12.7109375" style="54" customWidth="1"/>
    <col min="15107" max="15107" width="9.42578125" style="54" customWidth="1"/>
    <col min="15108" max="15108" width="10.140625" style="54" customWidth="1"/>
    <col min="15109" max="15109" width="11.28515625" style="54" customWidth="1"/>
    <col min="15110" max="15110" width="10.140625" style="54" bestFit="1" customWidth="1"/>
    <col min="15111" max="15111" width="10.140625" style="54" customWidth="1"/>
    <col min="15112" max="15112" width="12.42578125" style="54" customWidth="1"/>
    <col min="15113" max="15113" width="10" style="54" customWidth="1"/>
    <col min="15114" max="15114" width="10.85546875" style="54" customWidth="1"/>
    <col min="15115" max="15115" width="11.7109375" style="54" customWidth="1"/>
    <col min="15116" max="15116" width="11" style="54" customWidth="1"/>
    <col min="15117" max="15117" width="10.5703125" style="54" customWidth="1"/>
    <col min="15118" max="15118" width="11" style="54" bestFit="1" customWidth="1"/>
    <col min="15119" max="15119" width="11.28515625" style="54" bestFit="1" customWidth="1"/>
    <col min="15120" max="15120" width="12.140625" style="54" bestFit="1" customWidth="1"/>
    <col min="15121" max="15356" width="9.140625" style="54"/>
    <col min="15357" max="15357" width="46.28515625" style="54" customWidth="1"/>
    <col min="15358" max="15358" width="12.7109375" style="54" customWidth="1"/>
    <col min="15359" max="15361" width="0" style="54" hidden="1" customWidth="1"/>
    <col min="15362" max="15362" width="12.7109375" style="54" customWidth="1"/>
    <col min="15363" max="15363" width="9.42578125" style="54" customWidth="1"/>
    <col min="15364" max="15364" width="10.140625" style="54" customWidth="1"/>
    <col min="15365" max="15365" width="11.28515625" style="54" customWidth="1"/>
    <col min="15366" max="15366" width="10.140625" style="54" bestFit="1" customWidth="1"/>
    <col min="15367" max="15367" width="10.140625" style="54" customWidth="1"/>
    <col min="15368" max="15368" width="12.42578125" style="54" customWidth="1"/>
    <col min="15369" max="15369" width="10" style="54" customWidth="1"/>
    <col min="15370" max="15370" width="10.85546875" style="54" customWidth="1"/>
    <col min="15371" max="15371" width="11.7109375" style="54" customWidth="1"/>
    <col min="15372" max="15372" width="11" style="54" customWidth="1"/>
    <col min="15373" max="15373" width="10.5703125" style="54" customWidth="1"/>
    <col min="15374" max="15374" width="11" style="54" bestFit="1" customWidth="1"/>
    <col min="15375" max="15375" width="11.28515625" style="54" bestFit="1" customWidth="1"/>
    <col min="15376" max="15376" width="12.140625" style="54" bestFit="1" customWidth="1"/>
    <col min="15377" max="15612" width="9.140625" style="54"/>
    <col min="15613" max="15613" width="46.28515625" style="54" customWidth="1"/>
    <col min="15614" max="15614" width="12.7109375" style="54" customWidth="1"/>
    <col min="15615" max="15617" width="0" style="54" hidden="1" customWidth="1"/>
    <col min="15618" max="15618" width="12.7109375" style="54" customWidth="1"/>
    <col min="15619" max="15619" width="9.42578125" style="54" customWidth="1"/>
    <col min="15620" max="15620" width="10.140625" style="54" customWidth="1"/>
    <col min="15621" max="15621" width="11.28515625" style="54" customWidth="1"/>
    <col min="15622" max="15622" width="10.140625" style="54" bestFit="1" customWidth="1"/>
    <col min="15623" max="15623" width="10.140625" style="54" customWidth="1"/>
    <col min="15624" max="15624" width="12.42578125" style="54" customWidth="1"/>
    <col min="15625" max="15625" width="10" style="54" customWidth="1"/>
    <col min="15626" max="15626" width="10.85546875" style="54" customWidth="1"/>
    <col min="15627" max="15627" width="11.7109375" style="54" customWidth="1"/>
    <col min="15628" max="15628" width="11" style="54" customWidth="1"/>
    <col min="15629" max="15629" width="10.5703125" style="54" customWidth="1"/>
    <col min="15630" max="15630" width="11" style="54" bestFit="1" customWidth="1"/>
    <col min="15631" max="15631" width="11.28515625" style="54" bestFit="1" customWidth="1"/>
    <col min="15632" max="15632" width="12.140625" style="54" bestFit="1" customWidth="1"/>
    <col min="15633" max="15868" width="9.140625" style="54"/>
    <col min="15869" max="15869" width="46.28515625" style="54" customWidth="1"/>
    <col min="15870" max="15870" width="12.7109375" style="54" customWidth="1"/>
    <col min="15871" max="15873" width="0" style="54" hidden="1" customWidth="1"/>
    <col min="15874" max="15874" width="12.7109375" style="54" customWidth="1"/>
    <col min="15875" max="15875" width="9.42578125" style="54" customWidth="1"/>
    <col min="15876" max="15876" width="10.140625" style="54" customWidth="1"/>
    <col min="15877" max="15877" width="11.28515625" style="54" customWidth="1"/>
    <col min="15878" max="15878" width="10.140625" style="54" bestFit="1" customWidth="1"/>
    <col min="15879" max="15879" width="10.140625" style="54" customWidth="1"/>
    <col min="15880" max="15880" width="12.42578125" style="54" customWidth="1"/>
    <col min="15881" max="15881" width="10" style="54" customWidth="1"/>
    <col min="15882" max="15882" width="10.85546875" style="54" customWidth="1"/>
    <col min="15883" max="15883" width="11.7109375" style="54" customWidth="1"/>
    <col min="15884" max="15884" width="11" style="54" customWidth="1"/>
    <col min="15885" max="15885" width="10.5703125" style="54" customWidth="1"/>
    <col min="15886" max="15886" width="11" style="54" bestFit="1" customWidth="1"/>
    <col min="15887" max="15887" width="11.28515625" style="54" bestFit="1" customWidth="1"/>
    <col min="15888" max="15888" width="12.140625" style="54" bestFit="1" customWidth="1"/>
    <col min="15889" max="16124" width="9.140625" style="54"/>
    <col min="16125" max="16125" width="46.28515625" style="54" customWidth="1"/>
    <col min="16126" max="16126" width="12.7109375" style="54" customWidth="1"/>
    <col min="16127" max="16129" width="0" style="54" hidden="1" customWidth="1"/>
    <col min="16130" max="16130" width="12.7109375" style="54" customWidth="1"/>
    <col min="16131" max="16131" width="9.42578125" style="54" customWidth="1"/>
    <col min="16132" max="16132" width="10.140625" style="54" customWidth="1"/>
    <col min="16133" max="16133" width="11.28515625" style="54" customWidth="1"/>
    <col min="16134" max="16134" width="10.140625" style="54" bestFit="1" customWidth="1"/>
    <col min="16135" max="16135" width="10.140625" style="54" customWidth="1"/>
    <col min="16136" max="16136" width="12.42578125" style="54" customWidth="1"/>
    <col min="16137" max="16137" width="10" style="54" customWidth="1"/>
    <col min="16138" max="16138" width="10.85546875" style="54" customWidth="1"/>
    <col min="16139" max="16139" width="11.7109375" style="54" customWidth="1"/>
    <col min="16140" max="16140" width="11" style="54" customWidth="1"/>
    <col min="16141" max="16141" width="10.5703125" style="54" customWidth="1"/>
    <col min="16142" max="16142" width="11" style="54" bestFit="1" customWidth="1"/>
    <col min="16143" max="16143" width="11.28515625" style="54" bestFit="1" customWidth="1"/>
    <col min="16144" max="16144" width="12.140625" style="54" bestFit="1" customWidth="1"/>
    <col min="16145" max="16384" width="9.140625" style="54"/>
  </cols>
  <sheetData>
    <row r="1" spans="1:16">
      <c r="M1" s="835" t="s">
        <v>604</v>
      </c>
      <c r="N1" s="835"/>
    </row>
    <row r="2" spans="1:16" ht="16.5">
      <c r="A2" s="829" t="s">
        <v>1040</v>
      </c>
      <c r="B2" s="829"/>
      <c r="C2" s="829"/>
      <c r="D2" s="829"/>
      <c r="E2" s="829"/>
      <c r="F2" s="829"/>
      <c r="G2" s="829"/>
      <c r="H2" s="829"/>
      <c r="I2" s="829"/>
      <c r="J2" s="829"/>
      <c r="K2" s="829"/>
      <c r="L2" s="829"/>
      <c r="M2" s="829"/>
      <c r="N2" s="829"/>
    </row>
    <row r="3" spans="1:16">
      <c r="N3" s="54" t="s">
        <v>119</v>
      </c>
    </row>
    <row r="4" spans="1:16" ht="15.75" customHeight="1">
      <c r="A4" s="830" t="s">
        <v>335</v>
      </c>
      <c r="B4" s="348">
        <v>2020</v>
      </c>
      <c r="C4" s="349" t="s">
        <v>336</v>
      </c>
      <c r="D4" s="349" t="s">
        <v>337</v>
      </c>
      <c r="E4" s="349" t="s">
        <v>338</v>
      </c>
      <c r="F4" s="349" t="s">
        <v>339</v>
      </c>
      <c r="G4" s="349" t="s">
        <v>340</v>
      </c>
      <c r="H4" s="349" t="s">
        <v>341</v>
      </c>
      <c r="I4" s="349" t="s">
        <v>342</v>
      </c>
      <c r="J4" s="349" t="s">
        <v>343</v>
      </c>
      <c r="K4" s="349" t="s">
        <v>344</v>
      </c>
      <c r="L4" s="349" t="s">
        <v>345</v>
      </c>
      <c r="M4" s="349" t="s">
        <v>346</v>
      </c>
      <c r="N4" s="349" t="s">
        <v>347</v>
      </c>
    </row>
    <row r="5" spans="1:16">
      <c r="A5" s="831"/>
      <c r="B5" s="222" t="s">
        <v>1046</v>
      </c>
      <c r="C5" s="832" t="s">
        <v>348</v>
      </c>
      <c r="D5" s="833"/>
      <c r="E5" s="833"/>
      <c r="F5" s="833"/>
      <c r="G5" s="833"/>
      <c r="H5" s="833"/>
      <c r="I5" s="833"/>
      <c r="J5" s="833"/>
      <c r="K5" s="833"/>
      <c r="L5" s="833"/>
      <c r="M5" s="833"/>
      <c r="N5" s="834"/>
    </row>
    <row r="6" spans="1:16" ht="21" customHeight="1">
      <c r="A6" s="128" t="s">
        <v>349</v>
      </c>
      <c r="B6" s="64">
        <f>kv.mérleg!W6</f>
        <v>2193963</v>
      </c>
      <c r="C6" s="64">
        <v>163948</v>
      </c>
      <c r="D6" s="64">
        <v>196915</v>
      </c>
      <c r="E6" s="64">
        <v>265547</v>
      </c>
      <c r="F6" s="64">
        <v>200150</v>
      </c>
      <c r="G6" s="64">
        <v>183500</v>
      </c>
      <c r="H6" s="64">
        <v>168541</v>
      </c>
      <c r="I6" s="64">
        <v>168889</v>
      </c>
      <c r="J6" s="64">
        <v>171540</v>
      </c>
      <c r="K6" s="64">
        <v>178554</v>
      </c>
      <c r="L6" s="64">
        <v>167460</v>
      </c>
      <c r="M6" s="64">
        <v>167800</v>
      </c>
      <c r="N6" s="64">
        <v>161119</v>
      </c>
      <c r="O6" s="60">
        <f>SUM(C6:N6)</f>
        <v>2193963</v>
      </c>
      <c r="P6" s="60">
        <f>B6-O6</f>
        <v>0</v>
      </c>
    </row>
    <row r="7" spans="1:16" ht="21.75" customHeight="1">
      <c r="A7" s="353" t="s">
        <v>36</v>
      </c>
      <c r="B7" s="64">
        <f>kv.mérleg!W7</f>
        <v>712720</v>
      </c>
      <c r="C7" s="64"/>
      <c r="D7" s="64"/>
      <c r="E7" s="64">
        <f>134389+511</f>
        <v>134900</v>
      </c>
      <c r="F7" s="64"/>
      <c r="G7" s="64">
        <v>4997</v>
      </c>
      <c r="H7" s="64">
        <v>5000</v>
      </c>
      <c r="I7" s="64"/>
      <c r="J7" s="64">
        <v>76669</v>
      </c>
      <c r="K7" s="64">
        <v>343460</v>
      </c>
      <c r="L7" s="64">
        <v>147694</v>
      </c>
      <c r="M7" s="64"/>
      <c r="N7" s="64"/>
      <c r="O7" s="60">
        <f t="shared" ref="O7:O24" si="0">SUM(C7:N7)</f>
        <v>712720</v>
      </c>
      <c r="P7" s="60">
        <f t="shared" ref="P7:P26" si="1">B7-O7</f>
        <v>0</v>
      </c>
    </row>
    <row r="8" spans="1:16">
      <c r="A8" s="129" t="s">
        <v>45</v>
      </c>
      <c r="B8" s="64">
        <f>kv.mérleg!W8</f>
        <v>2124850</v>
      </c>
      <c r="C8" s="64"/>
      <c r="D8" s="64"/>
      <c r="E8" s="64">
        <v>892735</v>
      </c>
      <c r="F8" s="64">
        <v>165000</v>
      </c>
      <c r="G8" s="64">
        <v>17000</v>
      </c>
      <c r="H8" s="64">
        <v>18000</v>
      </c>
      <c r="I8" s="64">
        <v>7000</v>
      </c>
      <c r="J8" s="64"/>
      <c r="K8" s="64">
        <v>655113</v>
      </c>
      <c r="L8" s="64">
        <v>158667</v>
      </c>
      <c r="M8" s="64"/>
      <c r="N8" s="64">
        <v>211335</v>
      </c>
      <c r="O8" s="60">
        <f t="shared" si="0"/>
        <v>2124850</v>
      </c>
      <c r="P8" s="60">
        <f t="shared" si="1"/>
        <v>0</v>
      </c>
    </row>
    <row r="9" spans="1:16">
      <c r="A9" s="129" t="s">
        <v>59</v>
      </c>
      <c r="B9" s="64">
        <f>kv.mérleg!W9</f>
        <v>794541</v>
      </c>
      <c r="C9" s="64">
        <v>94935</v>
      </c>
      <c r="D9" s="64">
        <v>92000</v>
      </c>
      <c r="E9" s="64">
        <v>92000</v>
      </c>
      <c r="F9" s="64">
        <f>57500</f>
        <v>57500</v>
      </c>
      <c r="G9" s="64">
        <v>48664</v>
      </c>
      <c r="H9" s="64">
        <v>54300</v>
      </c>
      <c r="I9" s="64">
        <v>61500</v>
      </c>
      <c r="J9" s="64">
        <v>4038</v>
      </c>
      <c r="K9" s="64">
        <v>59736</v>
      </c>
      <c r="L9" s="64">
        <v>13181</v>
      </c>
      <c r="M9" s="64">
        <v>61494</v>
      </c>
      <c r="N9" s="64">
        <v>155193</v>
      </c>
      <c r="O9" s="60">
        <f t="shared" si="0"/>
        <v>794541</v>
      </c>
      <c r="P9" s="60">
        <f t="shared" si="1"/>
        <v>0</v>
      </c>
    </row>
    <row r="10" spans="1:16">
      <c r="A10" s="129" t="s">
        <v>67</v>
      </c>
      <c r="B10" s="64">
        <f>kv.mérleg!W10</f>
        <v>172952</v>
      </c>
      <c r="C10" s="64"/>
      <c r="D10" s="64">
        <v>8000</v>
      </c>
      <c r="E10" s="64"/>
      <c r="F10" s="64">
        <v>22852</v>
      </c>
      <c r="G10" s="64"/>
      <c r="H10" s="64">
        <v>18000</v>
      </c>
      <c r="I10" s="64">
        <v>101100</v>
      </c>
      <c r="J10" s="64"/>
      <c r="K10" s="64">
        <v>11000</v>
      </c>
      <c r="L10" s="64"/>
      <c r="M10" s="64">
        <v>12000</v>
      </c>
      <c r="N10" s="64"/>
      <c r="O10" s="60">
        <f t="shared" si="0"/>
        <v>172952</v>
      </c>
      <c r="P10" s="60">
        <f t="shared" si="1"/>
        <v>0</v>
      </c>
    </row>
    <row r="11" spans="1:16">
      <c r="A11" s="129" t="s">
        <v>70</v>
      </c>
      <c r="B11" s="64">
        <f>kv.mérleg!W11</f>
        <v>36544</v>
      </c>
      <c r="C11" s="64"/>
      <c r="D11" s="64"/>
      <c r="E11" s="64">
        <v>3000</v>
      </c>
      <c r="F11" s="64">
        <v>13256</v>
      </c>
      <c r="G11" s="64">
        <v>381</v>
      </c>
      <c r="H11" s="64">
        <v>595</v>
      </c>
      <c r="I11" s="64"/>
      <c r="J11" s="64">
        <v>5000</v>
      </c>
      <c r="K11" s="64">
        <v>10869</v>
      </c>
      <c r="L11" s="64">
        <v>516</v>
      </c>
      <c r="M11" s="64">
        <v>632</v>
      </c>
      <c r="N11" s="64">
        <v>2295</v>
      </c>
      <c r="O11" s="60">
        <f t="shared" si="0"/>
        <v>36544</v>
      </c>
      <c r="P11" s="60">
        <f t="shared" si="1"/>
        <v>0</v>
      </c>
    </row>
    <row r="12" spans="1:16">
      <c r="A12" s="129" t="s">
        <v>72</v>
      </c>
      <c r="B12" s="64">
        <f>kv.mérleg!W12</f>
        <v>27958</v>
      </c>
      <c r="C12" s="64"/>
      <c r="D12" s="64"/>
      <c r="E12" s="64">
        <v>638</v>
      </c>
      <c r="F12" s="64"/>
      <c r="G12" s="64">
        <v>370</v>
      </c>
      <c r="H12" s="64">
        <v>444</v>
      </c>
      <c r="I12" s="64"/>
      <c r="J12" s="64"/>
      <c r="K12" s="64">
        <v>23718</v>
      </c>
      <c r="L12" s="64">
        <v>646</v>
      </c>
      <c r="M12" s="64">
        <v>2142</v>
      </c>
      <c r="N12" s="64"/>
      <c r="O12" s="60">
        <f t="shared" si="0"/>
        <v>27958</v>
      </c>
      <c r="P12" s="60">
        <f t="shared" si="1"/>
        <v>0</v>
      </c>
    </row>
    <row r="13" spans="1:16">
      <c r="A13" s="129" t="s">
        <v>79</v>
      </c>
      <c r="B13" s="64">
        <f>kv.mérleg!W18</f>
        <v>4910334</v>
      </c>
      <c r="C13" s="64">
        <v>1202380</v>
      </c>
      <c r="D13" s="64">
        <v>107089</v>
      </c>
      <c r="E13" s="64">
        <v>128875</v>
      </c>
      <c r="F13" s="64">
        <v>328634</v>
      </c>
      <c r="G13" s="64">
        <v>218941</v>
      </c>
      <c r="H13" s="64">
        <v>159048</v>
      </c>
      <c r="I13" s="64">
        <v>95767</v>
      </c>
      <c r="J13" s="64">
        <v>328072</v>
      </c>
      <c r="K13" s="64">
        <v>60568</v>
      </c>
      <c r="L13" s="64">
        <v>400275</v>
      </c>
      <c r="M13" s="64">
        <v>865311</v>
      </c>
      <c r="N13" s="64">
        <v>1015374</v>
      </c>
      <c r="O13" s="60">
        <f t="shared" si="0"/>
        <v>4910334</v>
      </c>
      <c r="P13" s="60">
        <f t="shared" si="1"/>
        <v>0</v>
      </c>
    </row>
    <row r="14" spans="1:16">
      <c r="A14" s="135" t="s">
        <v>96</v>
      </c>
      <c r="B14" s="53">
        <f>SUM(B6:B13)</f>
        <v>10973862</v>
      </c>
      <c r="C14" s="53">
        <f t="shared" ref="C14:N14" si="2">SUM(C6:C13)</f>
        <v>1461263</v>
      </c>
      <c r="D14" s="53">
        <f t="shared" si="2"/>
        <v>404004</v>
      </c>
      <c r="E14" s="53">
        <f t="shared" si="2"/>
        <v>1517695</v>
      </c>
      <c r="F14" s="53">
        <f t="shared" si="2"/>
        <v>787392</v>
      </c>
      <c r="G14" s="53">
        <f t="shared" si="2"/>
        <v>473853</v>
      </c>
      <c r="H14" s="53">
        <f t="shared" si="2"/>
        <v>423928</v>
      </c>
      <c r="I14" s="53">
        <f t="shared" si="2"/>
        <v>434256</v>
      </c>
      <c r="J14" s="53">
        <f t="shared" si="2"/>
        <v>585319</v>
      </c>
      <c r="K14" s="53">
        <f t="shared" si="2"/>
        <v>1343018</v>
      </c>
      <c r="L14" s="53">
        <f t="shared" si="2"/>
        <v>888439</v>
      </c>
      <c r="M14" s="53">
        <f t="shared" si="2"/>
        <v>1109379</v>
      </c>
      <c r="N14" s="53">
        <f t="shared" si="2"/>
        <v>1545316</v>
      </c>
      <c r="O14" s="60">
        <f t="shared" si="0"/>
        <v>10973862</v>
      </c>
      <c r="P14" s="60">
        <f t="shared" si="1"/>
        <v>0</v>
      </c>
    </row>
    <row r="15" spans="1:16">
      <c r="A15" s="351"/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64"/>
      <c r="M15" s="64"/>
      <c r="N15" s="64"/>
      <c r="O15" s="60"/>
      <c r="P15" s="60">
        <f t="shared" si="1"/>
        <v>0</v>
      </c>
    </row>
    <row r="16" spans="1:16">
      <c r="A16" s="352" t="s">
        <v>10</v>
      </c>
      <c r="B16" s="64">
        <f>kv.mérleg!AT6</f>
        <v>2237026</v>
      </c>
      <c r="C16" s="64">
        <v>168500</v>
      </c>
      <c r="D16" s="64">
        <v>168500</v>
      </c>
      <c r="E16" s="64">
        <v>216797</v>
      </c>
      <c r="F16" s="64">
        <f>179737+30288</f>
        <v>210025</v>
      </c>
      <c r="G16" s="64">
        <f>179737+5536</f>
        <v>185273</v>
      </c>
      <c r="H16" s="64">
        <f>179737+6976</f>
        <v>186713</v>
      </c>
      <c r="I16" s="64">
        <v>179737</v>
      </c>
      <c r="J16" s="64">
        <v>196363</v>
      </c>
      <c r="K16" s="64">
        <v>179737</v>
      </c>
      <c r="L16" s="64">
        <f>180443+9835</f>
        <v>190278</v>
      </c>
      <c r="M16" s="64">
        <v>168550</v>
      </c>
      <c r="N16" s="64">
        <f>186073+480</f>
        <v>186553</v>
      </c>
      <c r="O16" s="60">
        <f t="shared" si="0"/>
        <v>2237026</v>
      </c>
      <c r="P16" s="60">
        <f t="shared" si="1"/>
        <v>0</v>
      </c>
    </row>
    <row r="17" spans="1:16">
      <c r="A17" s="129" t="s">
        <v>12</v>
      </c>
      <c r="B17" s="64">
        <f>kv.mérleg!AT7</f>
        <v>393334</v>
      </c>
      <c r="C17" s="64">
        <v>32420</v>
      </c>
      <c r="D17" s="64">
        <v>32420</v>
      </c>
      <c r="E17" s="64">
        <v>36705</v>
      </c>
      <c r="F17" s="64">
        <v>32420</v>
      </c>
      <c r="G17" s="64">
        <v>32420</v>
      </c>
      <c r="H17" s="64">
        <v>32420</v>
      </c>
      <c r="I17" s="64">
        <v>32420</v>
      </c>
      <c r="J17" s="64">
        <v>32420</v>
      </c>
      <c r="K17" s="64">
        <v>32420</v>
      </c>
      <c r="L17" s="64">
        <v>32420</v>
      </c>
      <c r="M17" s="64">
        <v>32429</v>
      </c>
      <c r="N17" s="64">
        <v>32420</v>
      </c>
      <c r="O17" s="60">
        <f t="shared" si="0"/>
        <v>393334</v>
      </c>
      <c r="P17" s="60">
        <f t="shared" si="1"/>
        <v>0</v>
      </c>
    </row>
    <row r="18" spans="1:16">
      <c r="A18" s="129" t="s">
        <v>14</v>
      </c>
      <c r="B18" s="64">
        <f>kv.mérleg!AT8</f>
        <v>1188490</v>
      </c>
      <c r="C18" s="64">
        <v>96250</v>
      </c>
      <c r="D18" s="64">
        <v>96250</v>
      </c>
      <c r="E18" s="64">
        <f>76520-20000</f>
        <v>56520</v>
      </c>
      <c r="F18" s="64">
        <v>96250</v>
      </c>
      <c r="G18" s="64">
        <v>96250</v>
      </c>
      <c r="H18" s="64">
        <v>96250</v>
      </c>
      <c r="I18" s="64">
        <v>96250</v>
      </c>
      <c r="J18" s="64">
        <v>96250</v>
      </c>
      <c r="K18" s="64">
        <v>96250</v>
      </c>
      <c r="L18" s="64">
        <v>96250</v>
      </c>
      <c r="M18" s="64">
        <v>102381</v>
      </c>
      <c r="N18" s="64">
        <v>163339</v>
      </c>
      <c r="O18" s="60">
        <f t="shared" si="0"/>
        <v>1188490</v>
      </c>
      <c r="P18" s="60">
        <f t="shared" si="1"/>
        <v>0</v>
      </c>
    </row>
    <row r="19" spans="1:16" ht="20.25" customHeight="1">
      <c r="A19" s="354" t="s">
        <v>350</v>
      </c>
      <c r="B19" s="64">
        <f>kv.mérleg!AT9</f>
        <v>31960</v>
      </c>
      <c r="C19" s="64">
        <v>3163</v>
      </c>
      <c r="D19" s="64">
        <v>3163</v>
      </c>
      <c r="E19" s="64">
        <v>3163</v>
      </c>
      <c r="F19" s="64">
        <v>3163</v>
      </c>
      <c r="G19" s="64">
        <v>3163</v>
      </c>
      <c r="H19" s="64">
        <v>3163</v>
      </c>
      <c r="I19" s="64">
        <v>3163</v>
      </c>
      <c r="J19" s="64">
        <v>3163</v>
      </c>
      <c r="K19" s="64">
        <v>3163</v>
      </c>
      <c r="L19" s="64">
        <v>3163</v>
      </c>
      <c r="M19" s="64">
        <v>330</v>
      </c>
      <c r="N19" s="64"/>
      <c r="O19" s="60">
        <f t="shared" si="0"/>
        <v>31960</v>
      </c>
      <c r="P19" s="60">
        <f t="shared" si="1"/>
        <v>0</v>
      </c>
    </row>
    <row r="20" spans="1:16">
      <c r="A20" s="129" t="s">
        <v>18</v>
      </c>
      <c r="B20" s="64">
        <f>kv.mérleg!AT10</f>
        <v>749118</v>
      </c>
      <c r="C20" s="64"/>
      <c r="D20" s="64">
        <v>0</v>
      </c>
      <c r="E20" s="64">
        <f>69666+20000-59637</f>
        <v>30029</v>
      </c>
      <c r="F20" s="64">
        <f>96429-21555-650+26767+1801</f>
        <v>102792</v>
      </c>
      <c r="G20" s="64">
        <f>91381-11527</f>
        <v>79854</v>
      </c>
      <c r="H20" s="64">
        <v>0</v>
      </c>
      <c r="I20" s="64">
        <f>12453-5214</f>
        <v>7239</v>
      </c>
      <c r="J20" s="64">
        <v>170236</v>
      </c>
      <c r="K20" s="64">
        <f>150043-16481</f>
        <v>133562</v>
      </c>
      <c r="L20" s="64">
        <f>125444-938</f>
        <v>124506</v>
      </c>
      <c r="M20" s="64">
        <v>71574</v>
      </c>
      <c r="N20" s="64">
        <f>39306-9500-480</f>
        <v>29326</v>
      </c>
      <c r="O20" s="60">
        <f t="shared" si="0"/>
        <v>749118</v>
      </c>
      <c r="P20" s="60">
        <f t="shared" si="1"/>
        <v>0</v>
      </c>
    </row>
    <row r="21" spans="1:16">
      <c r="A21" s="129" t="s">
        <v>37</v>
      </c>
      <c r="B21" s="64">
        <f>kv.mérleg!AT11</f>
        <v>2974455</v>
      </c>
      <c r="C21" s="64">
        <v>32858</v>
      </c>
      <c r="D21" s="64">
        <v>42800</v>
      </c>
      <c r="E21" s="64">
        <f>786176+60148</f>
        <v>846324</v>
      </c>
      <c r="F21" s="64"/>
      <c r="G21" s="64"/>
      <c r="H21" s="64"/>
      <c r="I21" s="64"/>
      <c r="J21" s="64">
        <f>122254+14155-9232-77034+2739</f>
        <v>52882</v>
      </c>
      <c r="K21" s="64">
        <v>523058</v>
      </c>
      <c r="L21" s="64">
        <v>137701</v>
      </c>
      <c r="M21" s="64">
        <f>587594+15445-16414</f>
        <v>586625</v>
      </c>
      <c r="N21" s="64">
        <f>752007+200</f>
        <v>752207</v>
      </c>
      <c r="O21" s="60">
        <f t="shared" si="0"/>
        <v>2974455</v>
      </c>
      <c r="P21" s="60">
        <f t="shared" si="1"/>
        <v>0</v>
      </c>
    </row>
    <row r="22" spans="1:16">
      <c r="A22" s="129" t="s">
        <v>39</v>
      </c>
      <c r="B22" s="64">
        <f>kv.mérleg!AT12</f>
        <v>614693</v>
      </c>
      <c r="C22" s="64">
        <v>7678</v>
      </c>
      <c r="D22" s="64">
        <v>21300</v>
      </c>
      <c r="E22" s="64">
        <v>75400</v>
      </c>
      <c r="F22" s="64">
        <v>71000</v>
      </c>
      <c r="G22" s="64">
        <v>59000</v>
      </c>
      <c r="H22" s="64">
        <f>23586+6020</f>
        <v>29606</v>
      </c>
      <c r="I22" s="64">
        <v>88664</v>
      </c>
      <c r="J22" s="64"/>
      <c r="K22" s="64">
        <v>29828</v>
      </c>
      <c r="L22" s="64">
        <v>88974</v>
      </c>
      <c r="M22" s="64">
        <v>101688</v>
      </c>
      <c r="N22" s="64">
        <v>41555</v>
      </c>
      <c r="O22" s="60">
        <f t="shared" si="0"/>
        <v>614693</v>
      </c>
      <c r="P22" s="60">
        <f t="shared" si="1"/>
        <v>0</v>
      </c>
    </row>
    <row r="23" spans="1:16">
      <c r="A23" s="129" t="s">
        <v>40</v>
      </c>
      <c r="B23" s="64">
        <f>kv.mérleg!AT13</f>
        <v>321260</v>
      </c>
      <c r="C23" s="64">
        <v>120000</v>
      </c>
      <c r="D23" s="64">
        <v>13750</v>
      </c>
      <c r="E23" s="64">
        <v>88650</v>
      </c>
      <c r="F23" s="64">
        <v>79907</v>
      </c>
      <c r="G23" s="64">
        <f>18132-13232</f>
        <v>4900</v>
      </c>
      <c r="H23" s="64">
        <f>300+2433</f>
        <v>2733</v>
      </c>
      <c r="I23" s="64"/>
      <c r="J23" s="64"/>
      <c r="K23" s="64"/>
      <c r="L23" s="64">
        <f>2050+250</f>
        <v>2300</v>
      </c>
      <c r="M23" s="64">
        <v>5492</v>
      </c>
      <c r="N23" s="64">
        <v>3528</v>
      </c>
      <c r="O23" s="60">
        <f t="shared" si="0"/>
        <v>321260</v>
      </c>
      <c r="P23" s="60">
        <f t="shared" si="1"/>
        <v>0</v>
      </c>
    </row>
    <row r="24" spans="1:16">
      <c r="A24" s="129" t="s">
        <v>80</v>
      </c>
      <c r="B24" s="64">
        <f>kv.mérleg!AT18</f>
        <v>2463526</v>
      </c>
      <c r="C24" s="64">
        <v>1000394</v>
      </c>
      <c r="D24" s="64">
        <v>25821</v>
      </c>
      <c r="E24" s="64">
        <v>164107</v>
      </c>
      <c r="F24" s="64">
        <f>187071+13243-8479</f>
        <v>191835</v>
      </c>
      <c r="G24" s="64">
        <v>12993</v>
      </c>
      <c r="H24" s="64">
        <f>64670+8373</f>
        <v>73043</v>
      </c>
      <c r="I24" s="64">
        <v>26783</v>
      </c>
      <c r="J24" s="64">
        <f>65359+7674-39028</f>
        <v>34005</v>
      </c>
      <c r="K24" s="64">
        <v>345000</v>
      </c>
      <c r="L24" s="64">
        <f>205193-31374+39028</f>
        <v>212847</v>
      </c>
      <c r="M24" s="64">
        <v>40310</v>
      </c>
      <c r="N24" s="64">
        <v>336388</v>
      </c>
      <c r="O24" s="60">
        <f t="shared" si="0"/>
        <v>2463526</v>
      </c>
      <c r="P24" s="60">
        <f t="shared" si="1"/>
        <v>0</v>
      </c>
    </row>
    <row r="25" spans="1:16">
      <c r="A25" s="135" t="s">
        <v>97</v>
      </c>
      <c r="B25" s="53">
        <f>SUM(B16:B24)</f>
        <v>10973862</v>
      </c>
      <c r="C25" s="53">
        <f t="shared" ref="C25:N25" si="3">SUM(C16:C24)</f>
        <v>1461263</v>
      </c>
      <c r="D25" s="53">
        <f t="shared" si="3"/>
        <v>404004</v>
      </c>
      <c r="E25" s="53">
        <f t="shared" si="3"/>
        <v>1517695</v>
      </c>
      <c r="F25" s="53">
        <f t="shared" si="3"/>
        <v>787392</v>
      </c>
      <c r="G25" s="53">
        <f t="shared" si="3"/>
        <v>473853</v>
      </c>
      <c r="H25" s="53">
        <f t="shared" si="3"/>
        <v>423928</v>
      </c>
      <c r="I25" s="53">
        <f t="shared" si="3"/>
        <v>434256</v>
      </c>
      <c r="J25" s="53">
        <f t="shared" si="3"/>
        <v>585319</v>
      </c>
      <c r="K25" s="53">
        <f t="shared" si="3"/>
        <v>1343018</v>
      </c>
      <c r="L25" s="53">
        <f t="shared" si="3"/>
        <v>888439</v>
      </c>
      <c r="M25" s="53">
        <f t="shared" si="3"/>
        <v>1109379</v>
      </c>
      <c r="N25" s="53">
        <f t="shared" si="3"/>
        <v>1545316</v>
      </c>
      <c r="O25" s="60">
        <f>SUM(C25:N25)</f>
        <v>10973862</v>
      </c>
      <c r="P25" s="60">
        <f t="shared" si="1"/>
        <v>0</v>
      </c>
    </row>
    <row r="26" spans="1:16">
      <c r="B26" s="60"/>
      <c r="C26" s="60">
        <f t="shared" ref="C26:N26" si="4">C14-C25</f>
        <v>0</v>
      </c>
      <c r="D26" s="60">
        <f t="shared" si="4"/>
        <v>0</v>
      </c>
      <c r="E26" s="60">
        <f t="shared" si="4"/>
        <v>0</v>
      </c>
      <c r="F26" s="60">
        <f t="shared" si="4"/>
        <v>0</v>
      </c>
      <c r="G26" s="60">
        <f t="shared" si="4"/>
        <v>0</v>
      </c>
      <c r="H26" s="60">
        <f t="shared" si="4"/>
        <v>0</v>
      </c>
      <c r="I26" s="60">
        <f t="shared" si="4"/>
        <v>0</v>
      </c>
      <c r="J26" s="60">
        <f t="shared" si="4"/>
        <v>0</v>
      </c>
      <c r="K26" s="60">
        <f t="shared" si="4"/>
        <v>0</v>
      </c>
      <c r="L26" s="60">
        <f t="shared" si="4"/>
        <v>0</v>
      </c>
      <c r="M26" s="60">
        <f t="shared" si="4"/>
        <v>0</v>
      </c>
      <c r="N26" s="60">
        <f t="shared" si="4"/>
        <v>0</v>
      </c>
      <c r="O26" s="60">
        <f>SUM(C26:N26)</f>
        <v>0</v>
      </c>
      <c r="P26" s="358">
        <f t="shared" si="1"/>
        <v>0</v>
      </c>
    </row>
  </sheetData>
  <mergeCells count="4">
    <mergeCell ref="A2:N2"/>
    <mergeCell ref="A4:A5"/>
    <mergeCell ref="C5:N5"/>
    <mergeCell ref="M1:N1"/>
  </mergeCells>
  <printOptions horizontalCentered="1" verticalCentered="1"/>
  <pageMargins left="0.11811023622047245" right="0.11811023622047245" top="0.15748031496062992" bottom="0.15748031496062992" header="0.19685039370078741" footer="0.11811023622047245"/>
  <pageSetup paperSize="9" scale="7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41"/>
  <sheetViews>
    <sheetView view="pageBreakPreview" zoomScale="93" zoomScaleNormal="100" zoomScaleSheetLayoutView="93" workbookViewId="0">
      <selection activeCell="D22" sqref="D22"/>
    </sheetView>
  </sheetViews>
  <sheetFormatPr defaultRowHeight="12"/>
  <cols>
    <col min="1" max="1" width="114.7109375" style="66" customWidth="1"/>
    <col min="2" max="16384" width="9.140625" style="66"/>
  </cols>
  <sheetData>
    <row r="1" spans="1:1" ht="15.75">
      <c r="A1" s="434" t="s">
        <v>617</v>
      </c>
    </row>
    <row r="2" spans="1:1" ht="15.75">
      <c r="A2" s="435"/>
    </row>
    <row r="3" spans="1:1" ht="15.75">
      <c r="A3" s="435" t="s">
        <v>470</v>
      </c>
    </row>
    <row r="5" spans="1:1" ht="14.25">
      <c r="A5" s="590" t="s">
        <v>471</v>
      </c>
    </row>
    <row r="6" spans="1:1" ht="15">
      <c r="A6" s="301" t="s">
        <v>1019</v>
      </c>
    </row>
    <row r="7" spans="1:1" ht="15">
      <c r="A7" s="301" t="s">
        <v>597</v>
      </c>
    </row>
    <row r="8" spans="1:1" ht="15">
      <c r="A8" s="301" t="s">
        <v>1020</v>
      </c>
    </row>
    <row r="9" spans="1:1" ht="15">
      <c r="A9" s="301" t="s">
        <v>618</v>
      </c>
    </row>
    <row r="10" spans="1:1" ht="30">
      <c r="A10" s="301" t="s">
        <v>619</v>
      </c>
    </row>
    <row r="11" spans="1:1" ht="30">
      <c r="A11" s="301" t="s">
        <v>620</v>
      </c>
    </row>
    <row r="12" spans="1:1" ht="30">
      <c r="A12" s="301" t="s">
        <v>621</v>
      </c>
    </row>
    <row r="13" spans="1:1" ht="15">
      <c r="A13" s="301" t="s">
        <v>472</v>
      </c>
    </row>
    <row r="14" spans="1:1" ht="15">
      <c r="A14" s="301" t="s">
        <v>473</v>
      </c>
    </row>
    <row r="15" spans="1:1" ht="15">
      <c r="A15" s="301" t="s">
        <v>474</v>
      </c>
    </row>
    <row r="16" spans="1:1" ht="15">
      <c r="A16" s="301" t="s">
        <v>622</v>
      </c>
    </row>
    <row r="17" spans="1:1" ht="30">
      <c r="A17" s="301" t="s">
        <v>623</v>
      </c>
    </row>
    <row r="18" spans="1:1" ht="30">
      <c r="A18" s="301" t="s">
        <v>624</v>
      </c>
    </row>
    <row r="19" spans="1:1" ht="30">
      <c r="A19" s="301" t="s">
        <v>1021</v>
      </c>
    </row>
    <row r="20" spans="1:1" ht="30">
      <c r="A20" s="301" t="s">
        <v>1022</v>
      </c>
    </row>
    <row r="21" spans="1:1" ht="14.25">
      <c r="A21" s="591" t="s">
        <v>625</v>
      </c>
    </row>
    <row r="22" spans="1:1" ht="30">
      <c r="A22" s="301" t="s">
        <v>1023</v>
      </c>
    </row>
    <row r="23" spans="1:1" ht="30">
      <c r="A23" s="301" t="s">
        <v>1024</v>
      </c>
    </row>
    <row r="24" spans="1:1" ht="45">
      <c r="A24" s="301" t="s">
        <v>1025</v>
      </c>
    </row>
    <row r="25" spans="1:1" ht="30">
      <c r="A25" s="301" t="s">
        <v>626</v>
      </c>
    </row>
    <row r="26" spans="1:1" ht="30">
      <c r="A26" s="301" t="s">
        <v>627</v>
      </c>
    </row>
    <row r="27" spans="1:1" ht="45">
      <c r="A27" s="301" t="s">
        <v>628</v>
      </c>
    </row>
    <row r="28" spans="1:1" ht="45">
      <c r="A28" s="301" t="s">
        <v>629</v>
      </c>
    </row>
    <row r="29" spans="1:1" ht="30">
      <c r="A29" s="301" t="s">
        <v>630</v>
      </c>
    </row>
    <row r="30" spans="1:1" ht="30">
      <c r="A30" s="301" t="s">
        <v>631</v>
      </c>
    </row>
    <row r="31" spans="1:1" ht="30">
      <c r="A31" s="301" t="s">
        <v>632</v>
      </c>
    </row>
    <row r="32" spans="1:1" ht="30">
      <c r="A32" s="301" t="s">
        <v>633</v>
      </c>
    </row>
    <row r="33" spans="1:1" ht="30">
      <c r="A33" s="301" t="s">
        <v>634</v>
      </c>
    </row>
    <row r="34" spans="1:1" ht="45">
      <c r="A34" s="592" t="s">
        <v>635</v>
      </c>
    </row>
    <row r="35" spans="1:1" ht="45">
      <c r="A35" s="592" t="s">
        <v>636</v>
      </c>
    </row>
    <row r="36" spans="1:1" ht="30">
      <c r="A36" s="592" t="s">
        <v>637</v>
      </c>
    </row>
    <row r="37" spans="1:1" ht="30">
      <c r="A37" s="430" t="s">
        <v>638</v>
      </c>
    </row>
    <row r="38" spans="1:1" ht="30">
      <c r="A38" s="592" t="s">
        <v>639</v>
      </c>
    </row>
    <row r="39" spans="1:1" ht="30">
      <c r="A39" s="301" t="s">
        <v>640</v>
      </c>
    </row>
    <row r="40" spans="1:1" ht="15">
      <c r="A40" s="593" t="s">
        <v>475</v>
      </c>
    </row>
    <row r="41" spans="1:1" ht="15">
      <c r="A41" s="436"/>
    </row>
  </sheetData>
  <printOptions horizontalCentered="1"/>
  <pageMargins left="0.31496062992125984" right="0.31496062992125984" top="0" bottom="0" header="0.31496062992125984" footer="0.31496062992125984"/>
  <pageSetup paperSize="9" scale="83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17"/>
  <sheetViews>
    <sheetView view="pageBreakPreview" zoomScale="93" zoomScaleNormal="100" zoomScaleSheetLayoutView="93" workbookViewId="0">
      <selection activeCell="D25" sqref="D25"/>
    </sheetView>
  </sheetViews>
  <sheetFormatPr defaultRowHeight="15.75"/>
  <cols>
    <col min="1" max="1" width="45.140625" style="309" customWidth="1"/>
    <col min="2" max="2" width="13.42578125" style="309" customWidth="1"/>
    <col min="3" max="3" width="45.140625" style="309" customWidth="1"/>
    <col min="4" max="4" width="13.42578125" style="309" customWidth="1"/>
    <col min="5" max="16384" width="9.140625" style="309"/>
  </cols>
  <sheetData>
    <row r="1" spans="1:4">
      <c r="A1" s="836" t="s">
        <v>215</v>
      </c>
      <c r="B1" s="836"/>
      <c r="C1" s="836"/>
      <c r="D1" s="836"/>
    </row>
    <row r="2" spans="1:4">
      <c r="A2" s="421"/>
      <c r="B2" s="421"/>
      <c r="C2" s="421"/>
      <c r="D2" s="421"/>
    </row>
    <row r="3" spans="1:4">
      <c r="A3" s="309" t="s">
        <v>589</v>
      </c>
    </row>
    <row r="4" spans="1:4">
      <c r="A4" s="309" t="s">
        <v>590</v>
      </c>
    </row>
    <row r="5" spans="1:4">
      <c r="A5" s="309" t="s">
        <v>591</v>
      </c>
    </row>
    <row r="6" spans="1:4">
      <c r="A6" s="309" t="s">
        <v>592</v>
      </c>
    </row>
    <row r="7" spans="1:4">
      <c r="A7" s="309" t="s">
        <v>593</v>
      </c>
    </row>
    <row r="8" spans="1:4">
      <c r="A8" s="309" t="s">
        <v>492</v>
      </c>
    </row>
    <row r="9" spans="1:4">
      <c r="C9" s="837" t="s">
        <v>504</v>
      </c>
      <c r="D9" s="837"/>
    </row>
    <row r="10" spans="1:4" s="310" customFormat="1">
      <c r="A10" s="718" t="s">
        <v>594</v>
      </c>
      <c r="B10" s="718"/>
      <c r="C10" s="718"/>
      <c r="D10" s="718"/>
    </row>
    <row r="11" spans="1:4" s="421" customFormat="1">
      <c r="A11" s="311" t="s">
        <v>218</v>
      </c>
      <c r="B11" s="311" t="s">
        <v>122</v>
      </c>
      <c r="C11" s="311" t="s">
        <v>480</v>
      </c>
      <c r="D11" s="311" t="s">
        <v>122</v>
      </c>
    </row>
    <row r="12" spans="1:4">
      <c r="A12" s="183" t="s">
        <v>219</v>
      </c>
      <c r="B12" s="105">
        <v>6120</v>
      </c>
      <c r="C12" s="183" t="s">
        <v>220</v>
      </c>
      <c r="D12" s="105"/>
    </row>
    <row r="13" spans="1:4">
      <c r="A13" s="183" t="s">
        <v>221</v>
      </c>
      <c r="B13" s="105">
        <v>1487</v>
      </c>
      <c r="C13" s="183" t="s">
        <v>482</v>
      </c>
      <c r="D13" s="105"/>
    </row>
    <row r="14" spans="1:4">
      <c r="A14" s="183" t="s">
        <v>222</v>
      </c>
      <c r="B14" s="105">
        <v>3453</v>
      </c>
      <c r="C14" s="183" t="s">
        <v>223</v>
      </c>
      <c r="D14" s="105">
        <f>D15</f>
        <v>307000</v>
      </c>
    </row>
    <row r="15" spans="1:4">
      <c r="A15" s="183" t="s">
        <v>224</v>
      </c>
      <c r="B15" s="105">
        <v>295940</v>
      </c>
      <c r="C15" s="183" t="s">
        <v>225</v>
      </c>
      <c r="D15" s="105">
        <v>307000</v>
      </c>
    </row>
    <row r="16" spans="1:4">
      <c r="A16" s="183"/>
      <c r="B16" s="105"/>
      <c r="C16" s="183" t="s">
        <v>226</v>
      </c>
      <c r="D16" s="105"/>
    </row>
    <row r="17" spans="1:4" s="271" customFormat="1">
      <c r="A17" s="313" t="s">
        <v>484</v>
      </c>
      <c r="B17" s="314">
        <f>B12+B13+B14+B15</f>
        <v>307000</v>
      </c>
      <c r="C17" s="313" t="s">
        <v>227</v>
      </c>
      <c r="D17" s="314">
        <f>D12+D14</f>
        <v>307000</v>
      </c>
    </row>
  </sheetData>
  <mergeCells count="3">
    <mergeCell ref="A1:D1"/>
    <mergeCell ref="C9:D9"/>
    <mergeCell ref="A10:D1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105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D16"/>
  <sheetViews>
    <sheetView view="pageBreakPreview" zoomScale="124" zoomScaleNormal="100" zoomScaleSheetLayoutView="124" workbookViewId="0">
      <selection activeCell="C23" sqref="C23"/>
    </sheetView>
  </sheetViews>
  <sheetFormatPr defaultRowHeight="15.75"/>
  <cols>
    <col min="1" max="1" width="45.140625" style="309" customWidth="1"/>
    <col min="2" max="2" width="13.42578125" style="309" customWidth="1"/>
    <col min="3" max="3" width="45.140625" style="309" customWidth="1"/>
    <col min="4" max="4" width="13.42578125" style="309" customWidth="1"/>
    <col min="5" max="16384" width="9.140625" style="309"/>
  </cols>
  <sheetData>
    <row r="1" spans="1:4">
      <c r="A1" s="836" t="s">
        <v>215</v>
      </c>
      <c r="B1" s="836"/>
      <c r="C1" s="836"/>
      <c r="D1" s="836"/>
    </row>
    <row r="2" spans="1:4">
      <c r="A2" s="421"/>
      <c r="B2" s="421"/>
      <c r="C2" s="421"/>
      <c r="D2" s="421"/>
    </row>
    <row r="3" spans="1:4">
      <c r="A3" s="309" t="s">
        <v>589</v>
      </c>
    </row>
    <row r="4" spans="1:4">
      <c r="A4" s="309" t="s">
        <v>590</v>
      </c>
    </row>
    <row r="5" spans="1:4">
      <c r="A5" s="309" t="s">
        <v>595</v>
      </c>
    </row>
    <row r="6" spans="1:4">
      <c r="A6" s="309" t="s">
        <v>596</v>
      </c>
    </row>
    <row r="7" spans="1:4">
      <c r="A7" s="309" t="s">
        <v>492</v>
      </c>
    </row>
    <row r="8" spans="1:4">
      <c r="C8" s="837" t="s">
        <v>504</v>
      </c>
      <c r="D8" s="837"/>
    </row>
    <row r="9" spans="1:4" s="310" customFormat="1">
      <c r="A9" s="718" t="s">
        <v>597</v>
      </c>
      <c r="B9" s="718"/>
      <c r="C9" s="718"/>
      <c r="D9" s="718"/>
    </row>
    <row r="10" spans="1:4" s="421" customFormat="1">
      <c r="A10" s="311" t="s">
        <v>218</v>
      </c>
      <c r="B10" s="311" t="s">
        <v>122</v>
      </c>
      <c r="C10" s="311" t="s">
        <v>480</v>
      </c>
      <c r="D10" s="311" t="s">
        <v>122</v>
      </c>
    </row>
    <row r="11" spans="1:4">
      <c r="A11" s="183" t="s">
        <v>219</v>
      </c>
      <c r="B11" s="105"/>
      <c r="C11" s="183" t="s">
        <v>220</v>
      </c>
      <c r="D11" s="105"/>
    </row>
    <row r="12" spans="1:4">
      <c r="A12" s="183" t="s">
        <v>221</v>
      </c>
      <c r="B12" s="105"/>
      <c r="C12" s="183" t="s">
        <v>482</v>
      </c>
      <c r="D12" s="105"/>
    </row>
    <row r="13" spans="1:4">
      <c r="A13" s="183" t="s">
        <v>222</v>
      </c>
      <c r="B13" s="105">
        <v>19972</v>
      </c>
      <c r="C13" s="183" t="s">
        <v>223</v>
      </c>
      <c r="D13" s="105">
        <f>D14</f>
        <v>19972</v>
      </c>
    </row>
    <row r="14" spans="1:4">
      <c r="A14" s="183" t="s">
        <v>224</v>
      </c>
      <c r="B14" s="105"/>
      <c r="C14" s="183" t="s">
        <v>225</v>
      </c>
      <c r="D14" s="105">
        <v>19972</v>
      </c>
    </row>
    <row r="15" spans="1:4">
      <c r="A15" s="183"/>
      <c r="B15" s="105"/>
      <c r="C15" s="183" t="s">
        <v>226</v>
      </c>
      <c r="D15" s="105"/>
    </row>
    <row r="16" spans="1:4" s="271" customFormat="1">
      <c r="A16" s="313" t="s">
        <v>484</v>
      </c>
      <c r="B16" s="314">
        <f>B11+B12+B13+B14</f>
        <v>19972</v>
      </c>
      <c r="C16" s="313" t="s">
        <v>227</v>
      </c>
      <c r="D16" s="314">
        <f>D11+D13</f>
        <v>19972</v>
      </c>
    </row>
  </sheetData>
  <mergeCells count="3">
    <mergeCell ref="A1:D1"/>
    <mergeCell ref="C8:D8"/>
    <mergeCell ref="A9:D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D16"/>
  <sheetViews>
    <sheetView view="pageBreakPreview" zoomScale="118" zoomScaleNormal="100" zoomScaleSheetLayoutView="118" workbookViewId="0">
      <selection activeCell="A4" sqref="A4"/>
    </sheetView>
  </sheetViews>
  <sheetFormatPr defaultRowHeight="15.75"/>
  <cols>
    <col min="1" max="1" width="45.140625" style="309" customWidth="1"/>
    <col min="2" max="2" width="13.42578125" style="309" customWidth="1"/>
    <col min="3" max="3" width="45.140625" style="309" customWidth="1"/>
    <col min="4" max="4" width="13.42578125" style="309" customWidth="1"/>
    <col min="5" max="16384" width="9.140625" style="309"/>
  </cols>
  <sheetData>
    <row r="1" spans="1:4">
      <c r="A1" s="836" t="s">
        <v>215</v>
      </c>
      <c r="B1" s="836"/>
      <c r="C1" s="836"/>
      <c r="D1" s="836"/>
    </row>
    <row r="2" spans="1:4">
      <c r="A2" s="421"/>
      <c r="B2" s="421"/>
      <c r="C2" s="421"/>
      <c r="D2" s="421"/>
    </row>
    <row r="3" spans="1:4">
      <c r="A3" s="309" t="s">
        <v>598</v>
      </c>
    </row>
    <row r="4" spans="1:4">
      <c r="A4" s="309" t="s">
        <v>599</v>
      </c>
    </row>
    <row r="5" spans="1:4">
      <c r="A5" s="309" t="s">
        <v>595</v>
      </c>
    </row>
    <row r="6" spans="1:4">
      <c r="A6" s="309" t="s">
        <v>596</v>
      </c>
    </row>
    <row r="7" spans="1:4">
      <c r="A7" s="309" t="s">
        <v>492</v>
      </c>
    </row>
    <row r="8" spans="1:4">
      <c r="C8" s="837" t="s">
        <v>504</v>
      </c>
      <c r="D8" s="837"/>
    </row>
    <row r="9" spans="1:4" s="310" customFormat="1">
      <c r="A9" s="718" t="s">
        <v>603</v>
      </c>
      <c r="B9" s="718"/>
      <c r="C9" s="718"/>
      <c r="D9" s="718"/>
    </row>
    <row r="10" spans="1:4" s="421" customFormat="1">
      <c r="A10" s="311" t="s">
        <v>218</v>
      </c>
      <c r="B10" s="311" t="s">
        <v>122</v>
      </c>
      <c r="C10" s="311" t="s">
        <v>480</v>
      </c>
      <c r="D10" s="311" t="s">
        <v>122</v>
      </c>
    </row>
    <row r="11" spans="1:4">
      <c r="A11" s="183" t="s">
        <v>219</v>
      </c>
      <c r="B11" s="105"/>
      <c r="C11" s="183" t="s">
        <v>220</v>
      </c>
      <c r="D11" s="105"/>
    </row>
    <row r="12" spans="1:4">
      <c r="A12" s="183" t="s">
        <v>221</v>
      </c>
      <c r="B12" s="105"/>
      <c r="C12" s="183" t="s">
        <v>482</v>
      </c>
      <c r="D12" s="105"/>
    </row>
    <row r="13" spans="1:4">
      <c r="A13" s="183" t="s">
        <v>222</v>
      </c>
      <c r="B13" s="105">
        <v>69754</v>
      </c>
      <c r="C13" s="183" t="s">
        <v>223</v>
      </c>
      <c r="D13" s="105">
        <f>D14</f>
        <v>69754</v>
      </c>
    </row>
    <row r="14" spans="1:4">
      <c r="A14" s="183" t="s">
        <v>224</v>
      </c>
      <c r="B14" s="105"/>
      <c r="C14" s="183" t="s">
        <v>225</v>
      </c>
      <c r="D14" s="105">
        <v>69754</v>
      </c>
    </row>
    <row r="15" spans="1:4">
      <c r="A15" s="183"/>
      <c r="B15" s="105"/>
      <c r="C15" s="183" t="s">
        <v>226</v>
      </c>
      <c r="D15" s="105"/>
    </row>
    <row r="16" spans="1:4" s="271" customFormat="1">
      <c r="A16" s="313" t="s">
        <v>484</v>
      </c>
      <c r="B16" s="314">
        <f>B11+B12+B13+B14</f>
        <v>69754</v>
      </c>
      <c r="C16" s="313" t="s">
        <v>227</v>
      </c>
      <c r="D16" s="314">
        <f>D11+D13</f>
        <v>69754</v>
      </c>
    </row>
  </sheetData>
  <mergeCells count="3">
    <mergeCell ref="A1:D1"/>
    <mergeCell ref="C8:D8"/>
    <mergeCell ref="A9:D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D16"/>
  <sheetViews>
    <sheetView view="pageBreakPreview" zoomScale="91" zoomScaleNormal="100" zoomScaleSheetLayoutView="91" workbookViewId="0">
      <selection activeCell="C24" sqref="C24"/>
    </sheetView>
  </sheetViews>
  <sheetFormatPr defaultRowHeight="15.75"/>
  <cols>
    <col min="1" max="1" width="45.140625" style="309" customWidth="1"/>
    <col min="2" max="2" width="13.42578125" style="309" customWidth="1"/>
    <col min="3" max="3" width="45.140625" style="309" customWidth="1"/>
    <col min="4" max="4" width="13.42578125" style="309" customWidth="1"/>
    <col min="5" max="16384" width="9.140625" style="309"/>
  </cols>
  <sheetData>
    <row r="1" spans="1:4">
      <c r="A1" s="836" t="s">
        <v>215</v>
      </c>
      <c r="B1" s="836"/>
      <c r="C1" s="836"/>
      <c r="D1" s="836"/>
    </row>
    <row r="2" spans="1:4">
      <c r="A2" s="421"/>
      <c r="B2" s="421"/>
      <c r="C2" s="421"/>
      <c r="D2" s="421"/>
    </row>
    <row r="3" spans="1:4">
      <c r="A3" s="309" t="s">
        <v>589</v>
      </c>
    </row>
    <row r="4" spans="1:4">
      <c r="A4" s="309" t="s">
        <v>600</v>
      </c>
    </row>
    <row r="5" spans="1:4">
      <c r="A5" s="309" t="s">
        <v>1028</v>
      </c>
    </row>
    <row r="6" spans="1:4">
      <c r="A6" s="309" t="s">
        <v>601</v>
      </c>
    </row>
    <row r="7" spans="1:4">
      <c r="A7" s="309" t="s">
        <v>492</v>
      </c>
    </row>
    <row r="8" spans="1:4">
      <c r="C8" s="837" t="s">
        <v>504</v>
      </c>
      <c r="D8" s="837"/>
    </row>
    <row r="9" spans="1:4" s="310" customFormat="1">
      <c r="A9" s="718" t="s">
        <v>602</v>
      </c>
      <c r="B9" s="718"/>
      <c r="C9" s="718"/>
      <c r="D9" s="718"/>
    </row>
    <row r="10" spans="1:4" s="421" customFormat="1">
      <c r="A10" s="311" t="s">
        <v>218</v>
      </c>
      <c r="B10" s="311" t="s">
        <v>122</v>
      </c>
      <c r="C10" s="311" t="s">
        <v>480</v>
      </c>
      <c r="D10" s="311" t="s">
        <v>122</v>
      </c>
    </row>
    <row r="11" spans="1:4">
      <c r="A11" s="183" t="s">
        <v>219</v>
      </c>
      <c r="B11" s="105"/>
      <c r="C11" s="183" t="s">
        <v>220</v>
      </c>
      <c r="D11" s="105"/>
    </row>
    <row r="12" spans="1:4">
      <c r="A12" s="183" t="s">
        <v>221</v>
      </c>
      <c r="B12" s="105"/>
      <c r="C12" s="183" t="s">
        <v>482</v>
      </c>
      <c r="D12" s="105"/>
    </row>
    <row r="13" spans="1:4">
      <c r="A13" s="183" t="s">
        <v>222</v>
      </c>
      <c r="B13" s="105"/>
      <c r="C13" s="183" t="s">
        <v>223</v>
      </c>
      <c r="D13" s="105">
        <f>D14</f>
        <v>140000</v>
      </c>
    </row>
    <row r="14" spans="1:4">
      <c r="A14" s="183" t="s">
        <v>224</v>
      </c>
      <c r="B14" s="105">
        <v>140000</v>
      </c>
      <c r="C14" s="183" t="s">
        <v>225</v>
      </c>
      <c r="D14" s="105">
        <v>140000</v>
      </c>
    </row>
    <row r="15" spans="1:4">
      <c r="A15" s="183"/>
      <c r="B15" s="105"/>
      <c r="C15" s="183" t="s">
        <v>226</v>
      </c>
      <c r="D15" s="105"/>
    </row>
    <row r="16" spans="1:4" s="271" customFormat="1">
      <c r="A16" s="313" t="s">
        <v>484</v>
      </c>
      <c r="B16" s="314">
        <f>B11+B12+B13+B14</f>
        <v>140000</v>
      </c>
      <c r="C16" s="313" t="s">
        <v>227</v>
      </c>
      <c r="D16" s="314">
        <f>D11+D13</f>
        <v>140000</v>
      </c>
    </row>
  </sheetData>
  <mergeCells count="3">
    <mergeCell ref="A1:D1"/>
    <mergeCell ref="C8:D8"/>
    <mergeCell ref="A9:D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D31"/>
  <sheetViews>
    <sheetView view="pageBreakPreview" zoomScaleNormal="100" zoomScaleSheetLayoutView="100" workbookViewId="0">
      <selection activeCell="I17" sqref="I17"/>
    </sheetView>
  </sheetViews>
  <sheetFormatPr defaultRowHeight="15.75"/>
  <cols>
    <col min="1" max="1" width="45.140625" style="67" customWidth="1"/>
    <col min="2" max="2" width="13.42578125" style="67" customWidth="1"/>
    <col min="3" max="3" width="45.140625" style="67" customWidth="1"/>
    <col min="4" max="4" width="13.42578125" style="67" customWidth="1"/>
    <col min="5" max="16384" width="9.140625" style="309"/>
  </cols>
  <sheetData>
    <row r="1" spans="1:4">
      <c r="A1" s="840" t="s">
        <v>215</v>
      </c>
      <c r="B1" s="840"/>
      <c r="C1" s="840"/>
      <c r="D1" s="840"/>
    </row>
    <row r="2" spans="1:4">
      <c r="A2" s="67" t="s">
        <v>476</v>
      </c>
    </row>
    <row r="3" spans="1:4">
      <c r="A3" s="841" t="s">
        <v>477</v>
      </c>
      <c r="B3" s="841"/>
      <c r="C3" s="841"/>
      <c r="D3" s="841"/>
    </row>
    <row r="4" spans="1:4">
      <c r="A4" s="842" t="s">
        <v>1026</v>
      </c>
      <c r="B4" s="842"/>
      <c r="C4" s="842"/>
      <c r="D4" s="842"/>
    </row>
    <row r="5" spans="1:4">
      <c r="A5" s="842" t="s">
        <v>478</v>
      </c>
      <c r="B5" s="842"/>
      <c r="C5" s="842"/>
      <c r="D5" s="842"/>
    </row>
    <row r="6" spans="1:4">
      <c r="A6" s="300" t="s">
        <v>216</v>
      </c>
      <c r="B6" s="300"/>
      <c r="C6" s="300"/>
      <c r="D6" s="300"/>
    </row>
    <row r="7" spans="1:4">
      <c r="C7" s="843" t="s">
        <v>217</v>
      </c>
      <c r="D7" s="843"/>
    </row>
    <row r="8" spans="1:4" ht="33.75" customHeight="1">
      <c r="A8" s="838" t="s">
        <v>479</v>
      </c>
      <c r="B8" s="839"/>
      <c r="C8" s="839"/>
      <c r="D8" s="839"/>
    </row>
    <row r="9" spans="1:4">
      <c r="A9" s="308" t="s">
        <v>218</v>
      </c>
      <c r="B9" s="69" t="s">
        <v>122</v>
      </c>
      <c r="C9" s="308" t="s">
        <v>480</v>
      </c>
      <c r="D9" s="69" t="s">
        <v>122</v>
      </c>
    </row>
    <row r="10" spans="1:4">
      <c r="A10" s="70" t="s">
        <v>219</v>
      </c>
      <c r="B10" s="71">
        <v>4533</v>
      </c>
      <c r="C10" s="70" t="s">
        <v>481</v>
      </c>
      <c r="D10" s="71"/>
    </row>
    <row r="11" spans="1:4">
      <c r="A11" s="70" t="s">
        <v>221</v>
      </c>
      <c r="B11" s="71">
        <v>898</v>
      </c>
      <c r="C11" s="70" t="s">
        <v>482</v>
      </c>
      <c r="D11" s="71"/>
    </row>
    <row r="12" spans="1:4">
      <c r="A12" s="70" t="s">
        <v>222</v>
      </c>
      <c r="B12" s="71">
        <v>3894</v>
      </c>
      <c r="C12" s="70" t="s">
        <v>223</v>
      </c>
      <c r="D12" s="71">
        <f>D13+D14</f>
        <v>390556</v>
      </c>
    </row>
    <row r="13" spans="1:4">
      <c r="A13" s="302" t="s">
        <v>224</v>
      </c>
      <c r="B13" s="71">
        <v>381231</v>
      </c>
      <c r="C13" s="70" t="s">
        <v>225</v>
      </c>
      <c r="D13" s="71">
        <v>390556</v>
      </c>
    </row>
    <row r="14" spans="1:4">
      <c r="A14" s="70"/>
      <c r="B14" s="71"/>
      <c r="C14" s="70" t="s">
        <v>226</v>
      </c>
      <c r="D14" s="71"/>
    </row>
    <row r="15" spans="1:4">
      <c r="A15" s="303" t="s">
        <v>228</v>
      </c>
      <c r="B15" s="304">
        <f>B10+B11+B12+B13</f>
        <v>390556</v>
      </c>
      <c r="C15" s="338"/>
      <c r="D15" s="304">
        <f>D12</f>
        <v>390556</v>
      </c>
    </row>
    <row r="16" spans="1:4">
      <c r="A16" s="303" t="s">
        <v>483</v>
      </c>
      <c r="B16" s="304">
        <v>4444</v>
      </c>
      <c r="C16" s="303"/>
      <c r="D16" s="304">
        <v>4444</v>
      </c>
    </row>
    <row r="17" spans="1:4">
      <c r="A17" s="305" t="s">
        <v>484</v>
      </c>
      <c r="B17" s="306">
        <f>B15+B16</f>
        <v>395000</v>
      </c>
      <c r="C17" s="305" t="s">
        <v>227</v>
      </c>
      <c r="D17" s="306">
        <f>SUM(D15:D16)</f>
        <v>395000</v>
      </c>
    </row>
    <row r="18" spans="1:4">
      <c r="A18" s="72"/>
      <c r="B18" s="73"/>
      <c r="C18" s="72"/>
      <c r="D18" s="73"/>
    </row>
    <row r="19" spans="1:4">
      <c r="A19" s="339"/>
      <c r="B19" s="339"/>
      <c r="C19" s="339"/>
      <c r="D19" s="339"/>
    </row>
    <row r="20" spans="1:4">
      <c r="A20" s="307"/>
      <c r="B20" s="307"/>
      <c r="C20" s="307"/>
      <c r="D20" s="307"/>
    </row>
    <row r="21" spans="1:4">
      <c r="A21" s="307"/>
      <c r="B21" s="307"/>
      <c r="C21" s="307"/>
      <c r="D21" s="307"/>
    </row>
    <row r="22" spans="1:4">
      <c r="A22" s="340"/>
      <c r="B22" s="340"/>
      <c r="C22" s="340"/>
      <c r="D22" s="340"/>
    </row>
    <row r="23" spans="1:4">
      <c r="A23" s="341"/>
      <c r="B23" s="342"/>
      <c r="C23" s="342"/>
      <c r="D23" s="342"/>
    </row>
    <row r="24" spans="1:4">
      <c r="A24" s="307"/>
      <c r="B24" s="307"/>
      <c r="C24" s="307"/>
      <c r="D24" s="307"/>
    </row>
    <row r="25" spans="1:4">
      <c r="A25" s="68"/>
      <c r="B25" s="68"/>
      <c r="C25" s="68"/>
      <c r="D25" s="68"/>
    </row>
    <row r="26" spans="1:4">
      <c r="A26" s="68"/>
      <c r="B26" s="68"/>
      <c r="C26" s="68"/>
      <c r="D26" s="68"/>
    </row>
    <row r="27" spans="1:4">
      <c r="A27" s="68"/>
      <c r="B27" s="68"/>
      <c r="C27" s="68"/>
      <c r="D27" s="68"/>
    </row>
    <row r="28" spans="1:4">
      <c r="A28" s="68"/>
      <c r="B28" s="68"/>
      <c r="C28" s="68"/>
      <c r="D28" s="68"/>
    </row>
    <row r="29" spans="1:4">
      <c r="A29" s="68"/>
      <c r="B29" s="68"/>
      <c r="C29" s="68"/>
      <c r="D29" s="68"/>
    </row>
    <row r="30" spans="1:4">
      <c r="A30" s="68"/>
      <c r="B30" s="68"/>
      <c r="C30" s="68"/>
      <c r="D30" s="68"/>
    </row>
    <row r="31" spans="1:4">
      <c r="A31" s="68"/>
      <c r="B31" s="68"/>
      <c r="C31" s="68"/>
      <c r="D31" s="68"/>
    </row>
  </sheetData>
  <mergeCells count="6">
    <mergeCell ref="A8:D8"/>
    <mergeCell ref="A1:D1"/>
    <mergeCell ref="A3:D3"/>
    <mergeCell ref="A4:D4"/>
    <mergeCell ref="A5:D5"/>
    <mergeCell ref="C7:D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D32"/>
  <sheetViews>
    <sheetView view="pageBreakPreview" zoomScale="118" zoomScaleNormal="100" zoomScaleSheetLayoutView="118" workbookViewId="0">
      <selection activeCell="E33" sqref="E33"/>
    </sheetView>
  </sheetViews>
  <sheetFormatPr defaultRowHeight="15.75"/>
  <cols>
    <col min="1" max="1" width="45.140625" style="67" customWidth="1"/>
    <col min="2" max="2" width="13.42578125" style="67" customWidth="1"/>
    <col min="3" max="3" width="45.140625" style="67" customWidth="1"/>
    <col min="4" max="4" width="13.42578125" style="67" customWidth="1"/>
    <col min="5" max="16384" width="9.140625" style="309"/>
  </cols>
  <sheetData>
    <row r="1" spans="1:4" ht="31.5" customHeight="1">
      <c r="A1" s="840" t="s">
        <v>215</v>
      </c>
      <c r="B1" s="840"/>
      <c r="C1" s="840"/>
      <c r="D1" s="840"/>
    </row>
    <row r="2" spans="1:4" ht="31.5" customHeight="1">
      <c r="A2" s="299"/>
      <c r="B2" s="299"/>
      <c r="C2" s="299"/>
      <c r="D2" s="299"/>
    </row>
    <row r="3" spans="1:4">
      <c r="A3" s="849" t="s">
        <v>476</v>
      </c>
      <c r="B3" s="849"/>
      <c r="C3" s="849"/>
      <c r="D3" s="849"/>
    </row>
    <row r="4" spans="1:4">
      <c r="A4" s="841" t="s">
        <v>485</v>
      </c>
      <c r="B4" s="841"/>
      <c r="C4" s="841"/>
      <c r="D4" s="841"/>
    </row>
    <row r="5" spans="1:4">
      <c r="A5" s="300" t="s">
        <v>486</v>
      </c>
      <c r="B5" s="300"/>
      <c r="C5" s="300"/>
      <c r="D5" s="300"/>
    </row>
    <row r="6" spans="1:4">
      <c r="A6" s="300" t="s">
        <v>487</v>
      </c>
      <c r="B6" s="300"/>
      <c r="C6" s="300"/>
      <c r="D6" s="300"/>
    </row>
    <row r="7" spans="1:4">
      <c r="A7" s="300" t="s">
        <v>216</v>
      </c>
      <c r="B7" s="300"/>
      <c r="C7" s="300"/>
      <c r="D7" s="300"/>
    </row>
    <row r="8" spans="1:4">
      <c r="C8" s="850" t="s">
        <v>217</v>
      </c>
      <c r="D8" s="850"/>
    </row>
    <row r="9" spans="1:4" ht="31.5" customHeight="1">
      <c r="A9" s="851" t="s">
        <v>488</v>
      </c>
      <c r="B9" s="851"/>
      <c r="C9" s="851"/>
      <c r="D9" s="851"/>
    </row>
    <row r="10" spans="1:4">
      <c r="A10" s="308" t="s">
        <v>218</v>
      </c>
      <c r="B10" s="69" t="s">
        <v>122</v>
      </c>
      <c r="C10" s="308" t="s">
        <v>480</v>
      </c>
      <c r="D10" s="69" t="s">
        <v>122</v>
      </c>
    </row>
    <row r="11" spans="1:4">
      <c r="A11" s="70" t="s">
        <v>219</v>
      </c>
      <c r="B11" s="71">
        <v>25834</v>
      </c>
      <c r="C11" s="70" t="s">
        <v>481</v>
      </c>
      <c r="D11" s="71"/>
    </row>
    <row r="12" spans="1:4">
      <c r="A12" s="70" t="s">
        <v>221</v>
      </c>
      <c r="B12" s="71">
        <v>5115</v>
      </c>
      <c r="C12" s="70" t="s">
        <v>482</v>
      </c>
      <c r="D12" s="71"/>
    </row>
    <row r="13" spans="1:4">
      <c r="A13" s="70" t="s">
        <v>222</v>
      </c>
      <c r="B13" s="71">
        <v>82270</v>
      </c>
      <c r="C13" s="70" t="s">
        <v>223</v>
      </c>
      <c r="D13" s="71">
        <f>D14+D15</f>
        <v>1969000</v>
      </c>
    </row>
    <row r="14" spans="1:4">
      <c r="A14" s="302" t="s">
        <v>224</v>
      </c>
      <c r="B14" s="71">
        <v>1855781</v>
      </c>
      <c r="C14" s="70" t="s">
        <v>225</v>
      </c>
      <c r="D14" s="71">
        <v>1969000</v>
      </c>
    </row>
    <row r="15" spans="1:4">
      <c r="A15" s="70"/>
      <c r="B15" s="71"/>
      <c r="C15" s="70" t="s">
        <v>226</v>
      </c>
      <c r="D15" s="71"/>
    </row>
    <row r="16" spans="1:4">
      <c r="A16" s="303" t="s">
        <v>228</v>
      </c>
      <c r="B16" s="304">
        <f>B11+B12+B13+B14</f>
        <v>1969000</v>
      </c>
      <c r="C16" s="338"/>
      <c r="D16" s="304">
        <f>D13</f>
        <v>1969000</v>
      </c>
    </row>
    <row r="17" spans="1:4">
      <c r="A17" s="303" t="s">
        <v>483</v>
      </c>
      <c r="B17" s="304">
        <v>29000</v>
      </c>
      <c r="C17" s="303"/>
      <c r="D17" s="304">
        <v>29000</v>
      </c>
    </row>
    <row r="18" spans="1:4">
      <c r="A18" s="305" t="s">
        <v>484</v>
      </c>
      <c r="B18" s="306">
        <f>B16+B17</f>
        <v>1998000</v>
      </c>
      <c r="C18" s="305" t="s">
        <v>227</v>
      </c>
      <c r="D18" s="306">
        <f>SUM(D16:D17)</f>
        <v>1998000</v>
      </c>
    </row>
    <row r="19" spans="1:4">
      <c r="A19" s="72"/>
      <c r="B19" s="73"/>
      <c r="C19" s="72"/>
      <c r="D19" s="73"/>
    </row>
    <row r="20" spans="1:4">
      <c r="A20" s="844"/>
      <c r="B20" s="844"/>
      <c r="C20" s="844"/>
      <c r="D20" s="844"/>
    </row>
    <row r="21" spans="1:4">
      <c r="A21" s="845"/>
      <c r="B21" s="845"/>
      <c r="C21" s="845"/>
      <c r="D21" s="845"/>
    </row>
    <row r="22" spans="1:4">
      <c r="A22" s="845"/>
      <c r="B22" s="845"/>
      <c r="C22" s="845"/>
      <c r="D22" s="845"/>
    </row>
    <row r="23" spans="1:4">
      <c r="A23" s="846"/>
      <c r="B23" s="846"/>
      <c r="C23" s="846"/>
      <c r="D23" s="846"/>
    </row>
    <row r="24" spans="1:4">
      <c r="A24" s="847"/>
      <c r="B24" s="848"/>
      <c r="C24" s="848"/>
      <c r="D24" s="848"/>
    </row>
    <row r="25" spans="1:4">
      <c r="A25" s="307"/>
      <c r="B25" s="307"/>
      <c r="C25" s="307"/>
      <c r="D25" s="307"/>
    </row>
    <row r="26" spans="1:4">
      <c r="A26" s="68"/>
      <c r="B26" s="68"/>
      <c r="C26" s="68"/>
      <c r="D26" s="68"/>
    </row>
    <row r="27" spans="1:4">
      <c r="A27" s="68"/>
      <c r="B27" s="68"/>
      <c r="C27" s="68"/>
      <c r="D27" s="68"/>
    </row>
    <row r="28" spans="1:4">
      <c r="A28" s="68"/>
      <c r="B28" s="68"/>
      <c r="C28" s="68"/>
      <c r="D28" s="68"/>
    </row>
    <row r="29" spans="1:4">
      <c r="A29" s="68"/>
      <c r="B29" s="68"/>
      <c r="C29" s="68"/>
      <c r="D29" s="68"/>
    </row>
    <row r="30" spans="1:4">
      <c r="A30" s="68"/>
      <c r="B30" s="68"/>
      <c r="C30" s="68"/>
      <c r="D30" s="68"/>
    </row>
    <row r="31" spans="1:4">
      <c r="A31" s="68"/>
      <c r="B31" s="68"/>
      <c r="C31" s="68"/>
      <c r="D31" s="68"/>
    </row>
    <row r="32" spans="1:4">
      <c r="A32" s="68"/>
      <c r="B32" s="68"/>
      <c r="C32" s="68"/>
      <c r="D32" s="68"/>
    </row>
  </sheetData>
  <mergeCells count="10">
    <mergeCell ref="A3:D3"/>
    <mergeCell ref="C8:D8"/>
    <mergeCell ref="A4:D4"/>
    <mergeCell ref="A9:D9"/>
    <mergeCell ref="A1:D1"/>
    <mergeCell ref="A20:D20"/>
    <mergeCell ref="A21:D21"/>
    <mergeCell ref="A22:D22"/>
    <mergeCell ref="A23:D23"/>
    <mergeCell ref="A24:D2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2:D19"/>
  <sheetViews>
    <sheetView view="pageBreakPreview" zoomScaleNormal="100" zoomScaleSheetLayoutView="100" workbookViewId="0">
      <selection activeCell="D23" sqref="D23"/>
    </sheetView>
  </sheetViews>
  <sheetFormatPr defaultRowHeight="15.75"/>
  <cols>
    <col min="1" max="1" width="45.140625" style="309" customWidth="1"/>
    <col min="2" max="2" width="13.28515625" style="309" customWidth="1"/>
    <col min="3" max="3" width="45.140625" style="309" customWidth="1"/>
    <col min="4" max="4" width="13.28515625" style="309" customWidth="1"/>
    <col min="5" max="16384" width="9.140625" style="309"/>
  </cols>
  <sheetData>
    <row r="2" spans="1:4">
      <c r="A2" s="840" t="s">
        <v>215</v>
      </c>
      <c r="B2" s="840"/>
      <c r="C2" s="840"/>
      <c r="D2" s="840"/>
    </row>
    <row r="3" spans="1:4">
      <c r="A3" s="67" t="s">
        <v>476</v>
      </c>
      <c r="B3" s="67"/>
      <c r="C3" s="67"/>
      <c r="D3" s="67"/>
    </row>
    <row r="4" spans="1:4">
      <c r="A4" s="841" t="s">
        <v>489</v>
      </c>
      <c r="B4" s="841"/>
      <c r="C4" s="841"/>
      <c r="D4" s="841"/>
    </row>
    <row r="5" spans="1:4">
      <c r="A5" s="842" t="s">
        <v>490</v>
      </c>
      <c r="B5" s="842"/>
      <c r="C5" s="842"/>
      <c r="D5" s="842"/>
    </row>
    <row r="6" spans="1:4">
      <c r="A6" s="842" t="s">
        <v>491</v>
      </c>
      <c r="B6" s="842"/>
      <c r="C6" s="842"/>
      <c r="D6" s="842"/>
    </row>
    <row r="7" spans="1:4">
      <c r="A7" s="300" t="s">
        <v>492</v>
      </c>
      <c r="B7" s="300"/>
      <c r="C7" s="300"/>
      <c r="D7" s="300"/>
    </row>
    <row r="8" spans="1:4">
      <c r="A8" s="67"/>
      <c r="B8" s="67"/>
      <c r="C8" s="850" t="s">
        <v>217</v>
      </c>
      <c r="D8" s="850"/>
    </row>
    <row r="9" spans="1:4" ht="37.5" customHeight="1">
      <c r="A9" s="838" t="s">
        <v>493</v>
      </c>
      <c r="B9" s="839"/>
      <c r="C9" s="839"/>
      <c r="D9" s="852"/>
    </row>
    <row r="10" spans="1:4">
      <c r="A10" s="308" t="s">
        <v>218</v>
      </c>
      <c r="B10" s="69" t="s">
        <v>122</v>
      </c>
      <c r="C10" s="308" t="s">
        <v>480</v>
      </c>
      <c r="D10" s="69" t="s">
        <v>122</v>
      </c>
    </row>
    <row r="11" spans="1:4">
      <c r="A11" s="70" t="s">
        <v>219</v>
      </c>
      <c r="B11" s="71">
        <v>42020</v>
      </c>
      <c r="C11" s="70" t="s">
        <v>481</v>
      </c>
      <c r="D11" s="71"/>
    </row>
    <row r="12" spans="1:4">
      <c r="A12" s="70" t="s">
        <v>221</v>
      </c>
      <c r="B12" s="71">
        <v>10210</v>
      </c>
      <c r="C12" s="70" t="s">
        <v>482</v>
      </c>
      <c r="D12" s="71"/>
    </row>
    <row r="13" spans="1:4">
      <c r="A13" s="70" t="s">
        <v>222</v>
      </c>
      <c r="B13" s="71">
        <v>19572</v>
      </c>
      <c r="C13" s="70" t="s">
        <v>223</v>
      </c>
      <c r="D13" s="71">
        <f>D14+D15</f>
        <v>73355</v>
      </c>
    </row>
    <row r="14" spans="1:4">
      <c r="A14" s="302" t="s">
        <v>224</v>
      </c>
      <c r="B14" s="71">
        <v>1553</v>
      </c>
      <c r="C14" s="70" t="s">
        <v>225</v>
      </c>
      <c r="D14" s="71">
        <v>73355</v>
      </c>
    </row>
    <row r="15" spans="1:4">
      <c r="A15" s="70"/>
      <c r="B15" s="71"/>
      <c r="C15" s="70" t="s">
        <v>226</v>
      </c>
      <c r="D15" s="71"/>
    </row>
    <row r="16" spans="1:4">
      <c r="A16" s="303" t="s">
        <v>228</v>
      </c>
      <c r="B16" s="304">
        <f>B11+B12+B13+B14</f>
        <v>73355</v>
      </c>
      <c r="C16" s="338"/>
      <c r="D16" s="304">
        <f>D13</f>
        <v>73355</v>
      </c>
    </row>
    <row r="17" spans="1:4" ht="31.5">
      <c r="A17" s="303" t="s">
        <v>494</v>
      </c>
      <c r="B17" s="304">
        <v>20000</v>
      </c>
      <c r="C17" s="303"/>
      <c r="D17" s="304">
        <v>20000</v>
      </c>
    </row>
    <row r="18" spans="1:4">
      <c r="A18" s="305" t="s">
        <v>484</v>
      </c>
      <c r="B18" s="306">
        <f>B16+B17</f>
        <v>93355</v>
      </c>
      <c r="C18" s="305" t="s">
        <v>227</v>
      </c>
      <c r="D18" s="306">
        <f>SUM(D16:D17)</f>
        <v>93355</v>
      </c>
    </row>
    <row r="19" spans="1:4">
      <c r="A19" s="72"/>
      <c r="B19" s="73"/>
      <c r="C19" s="72"/>
      <c r="D19" s="73"/>
    </row>
  </sheetData>
  <mergeCells count="6">
    <mergeCell ref="A9:D9"/>
    <mergeCell ref="A2:D2"/>
    <mergeCell ref="A4:D4"/>
    <mergeCell ref="A5:D5"/>
    <mergeCell ref="A6:D6"/>
    <mergeCell ref="C8:D8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2:D26"/>
  <sheetViews>
    <sheetView view="pageBreakPreview" zoomScaleNormal="100" zoomScaleSheetLayoutView="100" workbookViewId="0">
      <selection activeCell="F35" sqref="F35"/>
    </sheetView>
  </sheetViews>
  <sheetFormatPr defaultRowHeight="15.75"/>
  <cols>
    <col min="1" max="1" width="45.140625" style="309" customWidth="1"/>
    <col min="2" max="2" width="13.7109375" style="309" customWidth="1"/>
    <col min="3" max="3" width="45.140625" style="309" customWidth="1"/>
    <col min="4" max="4" width="16.42578125" style="309" customWidth="1"/>
    <col min="5" max="16384" width="9.140625" style="309"/>
  </cols>
  <sheetData>
    <row r="2" spans="1:4">
      <c r="A2" s="840" t="s">
        <v>215</v>
      </c>
      <c r="B2" s="840"/>
      <c r="C2" s="840"/>
      <c r="D2" s="840"/>
    </row>
    <row r="3" spans="1:4">
      <c r="A3" s="67" t="s">
        <v>476</v>
      </c>
      <c r="B3" s="67"/>
      <c r="C3" s="67"/>
      <c r="D3" s="67"/>
    </row>
    <row r="4" spans="1:4">
      <c r="A4" s="841" t="s">
        <v>495</v>
      </c>
      <c r="B4" s="841"/>
      <c r="C4" s="841"/>
      <c r="D4" s="841"/>
    </row>
    <row r="5" spans="1:4">
      <c r="A5" s="842" t="s">
        <v>496</v>
      </c>
      <c r="B5" s="842"/>
      <c r="C5" s="842"/>
      <c r="D5" s="842"/>
    </row>
    <row r="6" spans="1:4">
      <c r="A6" s="842" t="s">
        <v>497</v>
      </c>
      <c r="B6" s="842"/>
      <c r="C6" s="842"/>
      <c r="D6" s="842"/>
    </row>
    <row r="7" spans="1:4">
      <c r="A7" s="300" t="s">
        <v>492</v>
      </c>
      <c r="B7" s="300"/>
      <c r="C7" s="300"/>
      <c r="D7" s="300"/>
    </row>
    <row r="8" spans="1:4">
      <c r="A8" s="67"/>
      <c r="B8" s="67"/>
      <c r="C8" s="843" t="s">
        <v>217</v>
      </c>
      <c r="D8" s="843"/>
    </row>
    <row r="9" spans="1:4" ht="31.5" customHeight="1">
      <c r="A9" s="851" t="s">
        <v>474</v>
      </c>
      <c r="B9" s="851"/>
      <c r="C9" s="851"/>
      <c r="D9" s="851"/>
    </row>
    <row r="10" spans="1:4">
      <c r="A10" s="308" t="s">
        <v>218</v>
      </c>
      <c r="B10" s="69" t="s">
        <v>122</v>
      </c>
      <c r="C10" s="308" t="s">
        <v>480</v>
      </c>
      <c r="D10" s="69" t="s">
        <v>122</v>
      </c>
    </row>
    <row r="11" spans="1:4">
      <c r="A11" s="70" t="s">
        <v>219</v>
      </c>
      <c r="B11" s="71">
        <v>28005</v>
      </c>
      <c r="C11" s="70" t="s">
        <v>481</v>
      </c>
      <c r="D11" s="71"/>
    </row>
    <row r="12" spans="1:4">
      <c r="A12" s="70" t="s">
        <v>221</v>
      </c>
      <c r="B12" s="71">
        <v>5289</v>
      </c>
      <c r="C12" s="70" t="s">
        <v>482</v>
      </c>
      <c r="D12" s="71"/>
    </row>
    <row r="13" spans="1:4">
      <c r="A13" s="70" t="s">
        <v>222</v>
      </c>
      <c r="B13" s="71">
        <v>27914</v>
      </c>
      <c r="C13" s="70" t="s">
        <v>223</v>
      </c>
      <c r="D13" s="71">
        <v>61208</v>
      </c>
    </row>
    <row r="14" spans="1:4">
      <c r="A14" s="302" t="s">
        <v>224</v>
      </c>
      <c r="B14" s="71"/>
      <c r="C14" s="70" t="s">
        <v>225</v>
      </c>
      <c r="D14" s="71">
        <v>61208</v>
      </c>
    </row>
    <row r="15" spans="1:4">
      <c r="A15" s="70"/>
      <c r="B15" s="71"/>
      <c r="C15" s="70" t="s">
        <v>226</v>
      </c>
      <c r="D15" s="71"/>
    </row>
    <row r="16" spans="1:4">
      <c r="A16" s="303" t="s">
        <v>228</v>
      </c>
      <c r="B16" s="304">
        <f>B11+B12+B13+B14</f>
        <v>61208</v>
      </c>
      <c r="C16" s="338"/>
      <c r="D16" s="304">
        <f>D13</f>
        <v>61208</v>
      </c>
    </row>
    <row r="17" spans="1:4">
      <c r="A17" s="303" t="s">
        <v>498</v>
      </c>
      <c r="B17" s="304">
        <v>310732</v>
      </c>
      <c r="C17" s="303"/>
      <c r="D17" s="304">
        <v>310732</v>
      </c>
    </row>
    <row r="18" spans="1:4">
      <c r="A18" s="303" t="s">
        <v>499</v>
      </c>
      <c r="B18" s="304">
        <v>24788</v>
      </c>
      <c r="C18" s="303"/>
      <c r="D18" s="304">
        <v>24788</v>
      </c>
    </row>
    <row r="19" spans="1:4">
      <c r="A19" s="303" t="s">
        <v>500</v>
      </c>
      <c r="B19" s="304">
        <v>24882</v>
      </c>
      <c r="C19" s="303"/>
      <c r="D19" s="304">
        <v>24882</v>
      </c>
    </row>
    <row r="20" spans="1:4">
      <c r="A20" s="305" t="s">
        <v>484</v>
      </c>
      <c r="B20" s="306">
        <f>B16+B17+B18+B19</f>
        <v>421610</v>
      </c>
      <c r="C20" s="305" t="s">
        <v>227</v>
      </c>
      <c r="D20" s="306">
        <f>SUM(D16:D19)</f>
        <v>421610</v>
      </c>
    </row>
    <row r="21" spans="1:4">
      <c r="A21" s="72"/>
      <c r="B21" s="73"/>
      <c r="C21" s="72"/>
      <c r="D21" s="73"/>
    </row>
    <row r="22" spans="1:4">
      <c r="A22" s="844"/>
      <c r="B22" s="844"/>
      <c r="C22" s="844"/>
      <c r="D22" s="844"/>
    </row>
    <row r="23" spans="1:4">
      <c r="A23" s="307"/>
      <c r="B23" s="307"/>
      <c r="C23" s="307"/>
      <c r="D23" s="307"/>
    </row>
    <row r="24" spans="1:4">
      <c r="A24" s="307"/>
      <c r="B24" s="307"/>
      <c r="C24" s="307"/>
      <c r="D24" s="307"/>
    </row>
    <row r="25" spans="1:4">
      <c r="A25" s="307"/>
      <c r="B25" s="307"/>
      <c r="C25" s="307"/>
      <c r="D25" s="307"/>
    </row>
    <row r="26" spans="1:4">
      <c r="A26" s="307"/>
      <c r="B26" s="307"/>
      <c r="C26" s="307"/>
      <c r="D26" s="307"/>
    </row>
  </sheetData>
  <mergeCells count="7">
    <mergeCell ref="A22:D22"/>
    <mergeCell ref="A2:D2"/>
    <mergeCell ref="A4:D4"/>
    <mergeCell ref="A5:D5"/>
    <mergeCell ref="A6:D6"/>
    <mergeCell ref="C8:D8"/>
    <mergeCell ref="A9:D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D18"/>
  <sheetViews>
    <sheetView view="pageBreakPreview" zoomScaleNormal="100" zoomScaleSheetLayoutView="100" workbookViewId="0">
      <selection activeCell="H10" sqref="H10"/>
    </sheetView>
  </sheetViews>
  <sheetFormatPr defaultRowHeight="15.75"/>
  <cols>
    <col min="1" max="1" width="45.140625" style="309" customWidth="1"/>
    <col min="2" max="2" width="13.42578125" style="309" customWidth="1"/>
    <col min="3" max="3" width="45.140625" style="309" customWidth="1"/>
    <col min="4" max="4" width="13.42578125" style="309" customWidth="1"/>
    <col min="5" max="16384" width="9.140625" style="309"/>
  </cols>
  <sheetData>
    <row r="1" spans="1:4">
      <c r="A1" s="836" t="s">
        <v>215</v>
      </c>
      <c r="B1" s="836"/>
      <c r="C1" s="836"/>
      <c r="D1" s="836"/>
    </row>
    <row r="2" spans="1:4">
      <c r="A2" s="309" t="s">
        <v>476</v>
      </c>
    </row>
    <row r="3" spans="1:4">
      <c r="A3" s="309" t="s">
        <v>501</v>
      </c>
    </row>
    <row r="4" spans="1:4">
      <c r="A4" s="309" t="s">
        <v>1027</v>
      </c>
    </row>
    <row r="5" spans="1:4">
      <c r="A5" s="309" t="s">
        <v>502</v>
      </c>
    </row>
    <row r="6" spans="1:4">
      <c r="A6" s="309" t="s">
        <v>503</v>
      </c>
    </row>
    <row r="7" spans="1:4">
      <c r="A7" s="309" t="s">
        <v>492</v>
      </c>
    </row>
    <row r="8" spans="1:4">
      <c r="C8" s="853" t="s">
        <v>504</v>
      </c>
      <c r="D8" s="853"/>
    </row>
    <row r="9" spans="1:4" s="310" customFormat="1" ht="32.25" customHeight="1">
      <c r="A9" s="854" t="s">
        <v>505</v>
      </c>
      <c r="B9" s="855"/>
      <c r="C9" s="855"/>
      <c r="D9" s="856"/>
    </row>
    <row r="10" spans="1:4" s="312" customFormat="1">
      <c r="A10" s="311" t="s">
        <v>218</v>
      </c>
      <c r="B10" s="311" t="s">
        <v>122</v>
      </c>
      <c r="C10" s="311" t="s">
        <v>480</v>
      </c>
      <c r="D10" s="311" t="s">
        <v>122</v>
      </c>
    </row>
    <row r="11" spans="1:4">
      <c r="A11" s="183" t="s">
        <v>219</v>
      </c>
      <c r="B11" s="105">
        <v>2411</v>
      </c>
      <c r="C11" s="183" t="s">
        <v>220</v>
      </c>
      <c r="D11" s="105"/>
    </row>
    <row r="12" spans="1:4">
      <c r="A12" s="183" t="s">
        <v>221</v>
      </c>
      <c r="B12" s="105">
        <v>603</v>
      </c>
      <c r="C12" s="183" t="s">
        <v>482</v>
      </c>
      <c r="D12" s="105"/>
    </row>
    <row r="13" spans="1:4">
      <c r="A13" s="183" t="s">
        <v>222</v>
      </c>
      <c r="B13" s="105">
        <v>2408</v>
      </c>
      <c r="C13" s="183" t="s">
        <v>223</v>
      </c>
      <c r="D13" s="105">
        <f>D14</f>
        <v>195926</v>
      </c>
    </row>
    <row r="14" spans="1:4">
      <c r="A14" s="183" t="s">
        <v>224</v>
      </c>
      <c r="B14" s="105">
        <v>190504</v>
      </c>
      <c r="C14" s="183" t="s">
        <v>225</v>
      </c>
      <c r="D14" s="105">
        <v>195926</v>
      </c>
    </row>
    <row r="15" spans="1:4">
      <c r="A15" s="183"/>
      <c r="B15" s="105"/>
      <c r="C15" s="183" t="s">
        <v>226</v>
      </c>
      <c r="D15" s="105"/>
    </row>
    <row r="16" spans="1:4">
      <c r="A16" s="315" t="s">
        <v>228</v>
      </c>
      <c r="B16" s="316">
        <f>SUM(B11:B15)</f>
        <v>195926</v>
      </c>
      <c r="C16" s="315"/>
      <c r="D16" s="316">
        <f>D14</f>
        <v>195926</v>
      </c>
    </row>
    <row r="17" spans="1:4">
      <c r="A17" s="315" t="s">
        <v>483</v>
      </c>
      <c r="B17" s="316">
        <v>5024</v>
      </c>
      <c r="C17" s="315"/>
      <c r="D17" s="316">
        <v>5024</v>
      </c>
    </row>
    <row r="18" spans="1:4" s="271" customFormat="1">
      <c r="A18" s="313" t="s">
        <v>484</v>
      </c>
      <c r="B18" s="314">
        <f>SUM(B16:B17)</f>
        <v>200950</v>
      </c>
      <c r="C18" s="313" t="s">
        <v>227</v>
      </c>
      <c r="D18" s="314">
        <f>SUM(D16:D17)</f>
        <v>200950</v>
      </c>
    </row>
  </sheetData>
  <mergeCells count="3">
    <mergeCell ref="A1:D1"/>
    <mergeCell ref="C8:D8"/>
    <mergeCell ref="A9:D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D17"/>
  <sheetViews>
    <sheetView view="pageBreakPreview" zoomScaleNormal="100" zoomScaleSheetLayoutView="100" workbookViewId="0">
      <selection activeCell="B4" sqref="B4"/>
    </sheetView>
  </sheetViews>
  <sheetFormatPr defaultRowHeight="15.75"/>
  <cols>
    <col min="1" max="1" width="45.140625" style="309" customWidth="1"/>
    <col min="2" max="2" width="13.42578125" style="309" customWidth="1"/>
    <col min="3" max="3" width="45.140625" style="309" customWidth="1"/>
    <col min="4" max="4" width="13.42578125" style="309" customWidth="1"/>
    <col min="5" max="16384" width="9.140625" style="309"/>
  </cols>
  <sheetData>
    <row r="1" spans="1:4">
      <c r="A1" s="836" t="s">
        <v>215</v>
      </c>
      <c r="B1" s="836"/>
      <c r="C1" s="836"/>
      <c r="D1" s="836"/>
    </row>
    <row r="2" spans="1:4">
      <c r="A2" s="309" t="s">
        <v>476</v>
      </c>
    </row>
    <row r="3" spans="1:4">
      <c r="A3" s="309" t="s">
        <v>506</v>
      </c>
    </row>
    <row r="4" spans="1:4">
      <c r="A4" s="309" t="s">
        <v>1027</v>
      </c>
    </row>
    <row r="5" spans="1:4">
      <c r="A5" s="309" t="s">
        <v>502</v>
      </c>
    </row>
    <row r="6" spans="1:4">
      <c r="A6" s="309" t="s">
        <v>492</v>
      </c>
    </row>
    <row r="7" spans="1:4">
      <c r="C7" s="837" t="s">
        <v>504</v>
      </c>
      <c r="D7" s="837"/>
    </row>
    <row r="8" spans="1:4" s="310" customFormat="1" ht="33" customHeight="1">
      <c r="A8" s="718" t="s">
        <v>507</v>
      </c>
      <c r="B8" s="718"/>
      <c r="C8" s="718"/>
      <c r="D8" s="718"/>
    </row>
    <row r="9" spans="1:4" s="312" customFormat="1">
      <c r="A9" s="311" t="s">
        <v>218</v>
      </c>
      <c r="B9" s="311" t="s">
        <v>122</v>
      </c>
      <c r="C9" s="311" t="s">
        <v>480</v>
      </c>
      <c r="D9" s="311" t="s">
        <v>122</v>
      </c>
    </row>
    <row r="10" spans="1:4">
      <c r="A10" s="183" t="s">
        <v>219</v>
      </c>
      <c r="B10" s="105">
        <v>678</v>
      </c>
      <c r="C10" s="183" t="s">
        <v>220</v>
      </c>
      <c r="D10" s="105"/>
    </row>
    <row r="11" spans="1:4">
      <c r="A11" s="183" t="s">
        <v>221</v>
      </c>
      <c r="B11" s="105">
        <v>170</v>
      </c>
      <c r="C11" s="183" t="s">
        <v>482</v>
      </c>
      <c r="D11" s="105"/>
    </row>
    <row r="12" spans="1:4">
      <c r="A12" s="183" t="s">
        <v>222</v>
      </c>
      <c r="B12" s="105">
        <v>864</v>
      </c>
      <c r="C12" s="183" t="s">
        <v>223</v>
      </c>
      <c r="D12" s="105">
        <f>D13</f>
        <v>55113</v>
      </c>
    </row>
    <row r="13" spans="1:4">
      <c r="A13" s="183" t="s">
        <v>224</v>
      </c>
      <c r="B13" s="105">
        <v>53401</v>
      </c>
      <c r="C13" s="183" t="s">
        <v>225</v>
      </c>
      <c r="D13" s="105">
        <v>55113</v>
      </c>
    </row>
    <row r="14" spans="1:4">
      <c r="A14" s="183"/>
      <c r="B14" s="105"/>
      <c r="C14" s="183" t="s">
        <v>226</v>
      </c>
      <c r="D14" s="105"/>
    </row>
    <row r="15" spans="1:4">
      <c r="A15" s="315" t="s">
        <v>228</v>
      </c>
      <c r="B15" s="316">
        <f>SUM(B10:B14)</f>
        <v>55113</v>
      </c>
      <c r="C15" s="315"/>
      <c r="D15" s="316">
        <f>D13</f>
        <v>55113</v>
      </c>
    </row>
    <row r="16" spans="1:4">
      <c r="A16" s="315" t="s">
        <v>483</v>
      </c>
      <c r="B16" s="316">
        <v>1413</v>
      </c>
      <c r="C16" s="315"/>
      <c r="D16" s="316">
        <v>1413</v>
      </c>
    </row>
    <row r="17" spans="1:4" s="271" customFormat="1">
      <c r="A17" s="313" t="s">
        <v>484</v>
      </c>
      <c r="B17" s="314">
        <f>SUM(B15:B16)</f>
        <v>56526</v>
      </c>
      <c r="C17" s="313" t="s">
        <v>227</v>
      </c>
      <c r="D17" s="314">
        <f>SUM(D15:D16)</f>
        <v>56526</v>
      </c>
    </row>
  </sheetData>
  <mergeCells count="3">
    <mergeCell ref="A1:D1"/>
    <mergeCell ref="C7:D7"/>
    <mergeCell ref="A8:D8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D18"/>
  <sheetViews>
    <sheetView view="pageBreakPreview" zoomScaleNormal="100" zoomScaleSheetLayoutView="100" workbookViewId="0">
      <selection activeCell="G13" sqref="G13"/>
    </sheetView>
  </sheetViews>
  <sheetFormatPr defaultRowHeight="15.75"/>
  <cols>
    <col min="1" max="1" width="45" style="309" customWidth="1"/>
    <col min="2" max="2" width="13.42578125" style="309" customWidth="1"/>
    <col min="3" max="3" width="45.140625" style="309" customWidth="1"/>
    <col min="4" max="4" width="13.42578125" style="309" customWidth="1"/>
    <col min="5" max="16384" width="9.140625" style="309"/>
  </cols>
  <sheetData>
    <row r="1" spans="1:4">
      <c r="A1" s="836" t="s">
        <v>215</v>
      </c>
      <c r="B1" s="836"/>
      <c r="C1" s="836"/>
      <c r="D1" s="836"/>
    </row>
    <row r="2" spans="1:4">
      <c r="A2" s="309" t="s">
        <v>476</v>
      </c>
    </row>
    <row r="3" spans="1:4">
      <c r="A3" s="309" t="s">
        <v>508</v>
      </c>
    </row>
    <row r="4" spans="1:4">
      <c r="A4" s="309" t="s">
        <v>1027</v>
      </c>
    </row>
    <row r="5" spans="1:4">
      <c r="A5" s="309" t="s">
        <v>502</v>
      </c>
    </row>
    <row r="6" spans="1:4">
      <c r="A6" s="309" t="s">
        <v>503</v>
      </c>
    </row>
    <row r="7" spans="1:4">
      <c r="A7" s="309" t="s">
        <v>492</v>
      </c>
    </row>
    <row r="8" spans="1:4">
      <c r="C8" s="837" t="s">
        <v>504</v>
      </c>
      <c r="D8" s="837"/>
    </row>
    <row r="9" spans="1:4" ht="32.25" customHeight="1">
      <c r="A9" s="718" t="s">
        <v>509</v>
      </c>
      <c r="B9" s="718"/>
      <c r="C9" s="718"/>
      <c r="D9" s="718"/>
    </row>
    <row r="10" spans="1:4">
      <c r="A10" s="311" t="s">
        <v>218</v>
      </c>
      <c r="B10" s="311" t="s">
        <v>122</v>
      </c>
      <c r="C10" s="311" t="s">
        <v>480</v>
      </c>
      <c r="D10" s="311" t="s">
        <v>122</v>
      </c>
    </row>
    <row r="11" spans="1:4">
      <c r="A11" s="183" t="s">
        <v>219</v>
      </c>
      <c r="B11" s="105">
        <v>1716</v>
      </c>
      <c r="C11" s="183" t="s">
        <v>220</v>
      </c>
      <c r="D11" s="105"/>
    </row>
    <row r="12" spans="1:4">
      <c r="A12" s="183" t="s">
        <v>221</v>
      </c>
      <c r="B12" s="105">
        <v>429</v>
      </c>
      <c r="C12" s="183" t="s">
        <v>482</v>
      </c>
      <c r="D12" s="105"/>
    </row>
    <row r="13" spans="1:4">
      <c r="A13" s="183" t="s">
        <v>222</v>
      </c>
      <c r="B13" s="105">
        <v>1723</v>
      </c>
      <c r="C13" s="183" t="s">
        <v>223</v>
      </c>
      <c r="D13" s="105">
        <f>D14</f>
        <v>139471</v>
      </c>
    </row>
    <row r="14" spans="1:4">
      <c r="A14" s="183" t="s">
        <v>224</v>
      </c>
      <c r="B14" s="105">
        <v>135603</v>
      </c>
      <c r="C14" s="183" t="s">
        <v>225</v>
      </c>
      <c r="D14" s="105">
        <v>139471</v>
      </c>
    </row>
    <row r="15" spans="1:4">
      <c r="A15" s="183"/>
      <c r="B15" s="105"/>
      <c r="C15" s="183" t="s">
        <v>226</v>
      </c>
      <c r="D15" s="105"/>
    </row>
    <row r="16" spans="1:4">
      <c r="A16" s="315" t="s">
        <v>228</v>
      </c>
      <c r="B16" s="316">
        <f>SUM(B11:B15)</f>
        <v>139471</v>
      </c>
      <c r="C16" s="315"/>
      <c r="D16" s="316">
        <f>D14</f>
        <v>139471</v>
      </c>
    </row>
    <row r="17" spans="1:4">
      <c r="A17" s="315" t="s">
        <v>483</v>
      </c>
      <c r="B17" s="316">
        <v>3576</v>
      </c>
      <c r="C17" s="315"/>
      <c r="D17" s="316">
        <v>3576</v>
      </c>
    </row>
    <row r="18" spans="1:4">
      <c r="A18" s="313" t="s">
        <v>484</v>
      </c>
      <c r="B18" s="314">
        <f>SUM(B16:B17)</f>
        <v>143047</v>
      </c>
      <c r="C18" s="313" t="s">
        <v>227</v>
      </c>
      <c r="D18" s="314">
        <f>SUM(D16:D17)</f>
        <v>143047</v>
      </c>
    </row>
  </sheetData>
  <mergeCells count="3">
    <mergeCell ref="A1:D1"/>
    <mergeCell ref="C8:D8"/>
    <mergeCell ref="A9:D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2:D17"/>
  <sheetViews>
    <sheetView view="pageBreakPreview" zoomScaleNormal="100" zoomScaleSheetLayoutView="100" workbookViewId="0">
      <selection activeCell="I30" sqref="I30"/>
    </sheetView>
  </sheetViews>
  <sheetFormatPr defaultRowHeight="15.75"/>
  <cols>
    <col min="1" max="1" width="38.28515625" style="309" customWidth="1"/>
    <col min="2" max="2" width="12.85546875" style="309" customWidth="1"/>
    <col min="3" max="3" width="38.28515625" style="309" customWidth="1"/>
    <col min="4" max="4" width="12.85546875" style="309" customWidth="1"/>
    <col min="5" max="16384" width="9.140625" style="309"/>
  </cols>
  <sheetData>
    <row r="2" spans="1:4">
      <c r="A2" s="836" t="s">
        <v>215</v>
      </c>
      <c r="B2" s="836"/>
      <c r="C2" s="836"/>
      <c r="D2" s="836"/>
    </row>
    <row r="3" spans="1:4">
      <c r="A3" s="309" t="s">
        <v>510</v>
      </c>
    </row>
    <row r="4" spans="1:4">
      <c r="A4" s="309" t="s">
        <v>511</v>
      </c>
    </row>
    <row r="5" spans="1:4">
      <c r="A5" s="309" t="s">
        <v>512</v>
      </c>
    </row>
    <row r="6" spans="1:4">
      <c r="A6" s="309" t="s">
        <v>513</v>
      </c>
    </row>
    <row r="7" spans="1:4">
      <c r="A7" s="309" t="s">
        <v>492</v>
      </c>
    </row>
    <row r="8" spans="1:4">
      <c r="C8" s="837" t="s">
        <v>504</v>
      </c>
      <c r="D8" s="837"/>
    </row>
    <row r="9" spans="1:4" ht="34.5" customHeight="1">
      <c r="A9" s="718" t="s">
        <v>472</v>
      </c>
      <c r="B9" s="718"/>
      <c r="C9" s="718"/>
      <c r="D9" s="718"/>
    </row>
    <row r="10" spans="1:4">
      <c r="A10" s="311" t="s">
        <v>218</v>
      </c>
      <c r="B10" s="311" t="s">
        <v>122</v>
      </c>
      <c r="C10" s="311" t="s">
        <v>480</v>
      </c>
      <c r="D10" s="311" t="s">
        <v>122</v>
      </c>
    </row>
    <row r="11" spans="1:4">
      <c r="A11" s="183" t="s">
        <v>219</v>
      </c>
      <c r="B11" s="105">
        <v>29158</v>
      </c>
      <c r="C11" s="183" t="s">
        <v>220</v>
      </c>
      <c r="D11" s="105"/>
    </row>
    <row r="12" spans="1:4">
      <c r="A12" s="183" t="s">
        <v>221</v>
      </c>
      <c r="B12" s="105">
        <v>5832</v>
      </c>
      <c r="C12" s="183" t="s">
        <v>482</v>
      </c>
      <c r="D12" s="105"/>
    </row>
    <row r="13" spans="1:4">
      <c r="A13" s="183" t="s">
        <v>222</v>
      </c>
      <c r="B13" s="105">
        <v>21278</v>
      </c>
      <c r="C13" s="183" t="s">
        <v>223</v>
      </c>
      <c r="D13" s="105">
        <f>D14</f>
        <v>1400000</v>
      </c>
    </row>
    <row r="14" spans="1:4">
      <c r="A14" s="317" t="s">
        <v>224</v>
      </c>
      <c r="B14" s="258">
        <v>1343732</v>
      </c>
      <c r="C14" s="183" t="s">
        <v>225</v>
      </c>
      <c r="D14" s="105">
        <v>1400000</v>
      </c>
    </row>
    <row r="15" spans="1:4">
      <c r="A15" s="183"/>
      <c r="B15" s="105"/>
      <c r="C15" s="183" t="s">
        <v>226</v>
      </c>
      <c r="D15" s="105"/>
    </row>
    <row r="16" spans="1:4">
      <c r="A16" s="183"/>
      <c r="B16" s="105"/>
      <c r="C16" s="183"/>
      <c r="D16" s="105"/>
    </row>
    <row r="17" spans="1:4">
      <c r="A17" s="313" t="s">
        <v>484</v>
      </c>
      <c r="B17" s="314">
        <f>SUM(B11:B16)</f>
        <v>1400000</v>
      </c>
      <c r="C17" s="313" t="s">
        <v>514</v>
      </c>
      <c r="D17" s="314">
        <f>D13</f>
        <v>1400000</v>
      </c>
    </row>
  </sheetData>
  <mergeCells count="3">
    <mergeCell ref="A2:D2"/>
    <mergeCell ref="C8:D8"/>
    <mergeCell ref="A9:D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3:D19"/>
  <sheetViews>
    <sheetView view="pageBreakPreview" zoomScaleNormal="100" zoomScaleSheetLayoutView="100" workbookViewId="0">
      <selection activeCell="D15" sqref="D15"/>
    </sheetView>
  </sheetViews>
  <sheetFormatPr defaultRowHeight="15.75"/>
  <cols>
    <col min="1" max="1" width="36.28515625" style="309" customWidth="1"/>
    <col min="2" max="2" width="15.42578125" style="309" customWidth="1"/>
    <col min="3" max="3" width="36.85546875" style="309" customWidth="1"/>
    <col min="4" max="4" width="15" style="309" customWidth="1"/>
    <col min="5" max="16384" width="9.140625" style="309"/>
  </cols>
  <sheetData>
    <row r="3" spans="1:4">
      <c r="A3" s="836" t="s">
        <v>215</v>
      </c>
      <c r="B3" s="836"/>
      <c r="C3" s="836"/>
      <c r="D3" s="836"/>
    </row>
    <row r="4" spans="1:4">
      <c r="A4" s="312"/>
      <c r="B4" s="312"/>
      <c r="C4" s="312"/>
      <c r="D4" s="312"/>
    </row>
    <row r="5" spans="1:4">
      <c r="A5" s="309" t="s">
        <v>510</v>
      </c>
    </row>
    <row r="6" spans="1:4">
      <c r="A6" s="309" t="s">
        <v>515</v>
      </c>
    </row>
    <row r="7" spans="1:4">
      <c r="A7" s="309" t="s">
        <v>516</v>
      </c>
    </row>
    <row r="8" spans="1:4">
      <c r="A8" s="309" t="s">
        <v>517</v>
      </c>
    </row>
    <row r="9" spans="1:4">
      <c r="A9" s="309" t="s">
        <v>492</v>
      </c>
    </row>
    <row r="10" spans="1:4">
      <c r="C10" s="837" t="s">
        <v>504</v>
      </c>
      <c r="D10" s="837"/>
    </row>
    <row r="11" spans="1:4" ht="31.5" customHeight="1">
      <c r="A11" s="718" t="s">
        <v>518</v>
      </c>
      <c r="B11" s="718"/>
      <c r="C11" s="718"/>
      <c r="D11" s="718"/>
    </row>
    <row r="12" spans="1:4">
      <c r="A12" s="311" t="s">
        <v>218</v>
      </c>
      <c r="B12" s="311" t="s">
        <v>122</v>
      </c>
      <c r="C12" s="311" t="s">
        <v>480</v>
      </c>
      <c r="D12" s="311" t="s">
        <v>122</v>
      </c>
    </row>
    <row r="13" spans="1:4">
      <c r="A13" s="183" t="s">
        <v>219</v>
      </c>
      <c r="B13" s="105">
        <v>43272</v>
      </c>
      <c r="C13" s="183" t="s">
        <v>220</v>
      </c>
      <c r="D13" s="105"/>
    </row>
    <row r="14" spans="1:4">
      <c r="A14" s="183" t="s">
        <v>221</v>
      </c>
      <c r="B14" s="105">
        <v>7958</v>
      </c>
      <c r="C14" s="183" t="s">
        <v>482</v>
      </c>
      <c r="D14" s="105"/>
    </row>
    <row r="15" spans="1:4">
      <c r="A15" s="183" t="s">
        <v>222</v>
      </c>
      <c r="B15" s="105">
        <v>28079</v>
      </c>
      <c r="C15" s="183" t="s">
        <v>223</v>
      </c>
      <c r="D15" s="105">
        <f>D16+D17</f>
        <v>87807</v>
      </c>
    </row>
    <row r="16" spans="1:4">
      <c r="A16" s="317" t="s">
        <v>224</v>
      </c>
      <c r="B16" s="258">
        <v>8498</v>
      </c>
      <c r="C16" s="183" t="s">
        <v>225</v>
      </c>
      <c r="D16" s="105">
        <v>87807</v>
      </c>
    </row>
    <row r="17" spans="1:4">
      <c r="A17" s="183"/>
      <c r="B17" s="105"/>
      <c r="C17" s="183" t="s">
        <v>226</v>
      </c>
      <c r="D17" s="105"/>
    </row>
    <row r="18" spans="1:4">
      <c r="A18" s="183"/>
      <c r="B18" s="105"/>
      <c r="C18" s="183"/>
      <c r="D18" s="105"/>
    </row>
    <row r="19" spans="1:4">
      <c r="A19" s="313" t="s">
        <v>484</v>
      </c>
      <c r="B19" s="314">
        <f>SUM(B13:B18)</f>
        <v>87807</v>
      </c>
      <c r="C19" s="313" t="s">
        <v>514</v>
      </c>
      <c r="D19" s="314">
        <f>D15</f>
        <v>87807</v>
      </c>
    </row>
  </sheetData>
  <mergeCells count="3">
    <mergeCell ref="A3:D3"/>
    <mergeCell ref="C10:D10"/>
    <mergeCell ref="A11:D1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K27"/>
  <sheetViews>
    <sheetView view="pageBreakPreview" zoomScaleNormal="100" zoomScaleSheetLayoutView="100" workbookViewId="0">
      <selection activeCell="I11" sqref="I11"/>
    </sheetView>
  </sheetViews>
  <sheetFormatPr defaultRowHeight="16.5" customHeight="1"/>
  <cols>
    <col min="1" max="1" width="50.42578125" style="309" customWidth="1"/>
    <col min="2" max="2" width="16.5703125" style="309" customWidth="1"/>
    <col min="3" max="3" width="16.7109375" style="309" customWidth="1"/>
    <col min="4" max="6" width="15" style="309" customWidth="1"/>
    <col min="7" max="16384" width="9.140625" style="309"/>
  </cols>
  <sheetData>
    <row r="1" spans="1:11" ht="16.5" customHeight="1">
      <c r="A1" s="836" t="s">
        <v>215</v>
      </c>
      <c r="B1" s="836"/>
      <c r="C1" s="836"/>
      <c r="D1" s="836"/>
    </row>
    <row r="2" spans="1:11" ht="16.5" customHeight="1">
      <c r="A2" s="312"/>
      <c r="B2" s="312"/>
      <c r="C2" s="312"/>
      <c r="D2" s="312"/>
    </row>
    <row r="3" spans="1:11" ht="16.5" customHeight="1">
      <c r="A3" s="309" t="s">
        <v>519</v>
      </c>
    </row>
    <row r="4" spans="1:11" ht="16.5" customHeight="1">
      <c r="A4" s="309" t="s">
        <v>520</v>
      </c>
    </row>
    <row r="5" spans="1:11" ht="16.5" customHeight="1">
      <c r="A5" s="309" t="s">
        <v>1029</v>
      </c>
    </row>
    <row r="6" spans="1:11" ht="16.5" customHeight="1">
      <c r="C6" s="837"/>
      <c r="D6" s="837"/>
    </row>
    <row r="7" spans="1:11" ht="31.5" customHeight="1">
      <c r="A7" s="718" t="s">
        <v>521</v>
      </c>
      <c r="B7" s="718"/>
      <c r="C7" s="718"/>
      <c r="D7" s="718"/>
      <c r="E7" s="718"/>
    </row>
    <row r="8" spans="1:11" ht="16.5" customHeight="1">
      <c r="A8" s="318" t="s">
        <v>522</v>
      </c>
      <c r="B8" s="318" t="s">
        <v>523</v>
      </c>
      <c r="C8" s="318" t="s">
        <v>524</v>
      </c>
      <c r="D8" s="319"/>
    </row>
    <row r="9" spans="1:11" ht="16.5" customHeight="1">
      <c r="A9" s="183" t="s">
        <v>525</v>
      </c>
      <c r="B9" s="336">
        <v>0.85</v>
      </c>
      <c r="C9" s="320">
        <v>437624.31</v>
      </c>
      <c r="D9" s="99"/>
    </row>
    <row r="10" spans="1:11" ht="16.5" customHeight="1">
      <c r="A10" s="183" t="s">
        <v>526</v>
      </c>
      <c r="B10" s="336">
        <v>0.1</v>
      </c>
      <c r="C10" s="320">
        <v>31169.7</v>
      </c>
      <c r="D10" s="99"/>
    </row>
    <row r="11" spans="1:11" ht="16.5" customHeight="1">
      <c r="A11" s="183" t="s">
        <v>527</v>
      </c>
      <c r="B11" s="336">
        <v>0.05</v>
      </c>
      <c r="C11" s="320">
        <v>46058.13</v>
      </c>
      <c r="D11" s="99"/>
    </row>
    <row r="12" spans="1:11" ht="16.5" customHeight="1">
      <c r="A12" s="321" t="s">
        <v>528</v>
      </c>
      <c r="B12" s="337"/>
      <c r="C12" s="322">
        <f>SUM(C9:C11)</f>
        <v>514852.14</v>
      </c>
      <c r="D12" s="99"/>
    </row>
    <row r="13" spans="1:11" ht="16.5" customHeight="1">
      <c r="A13" s="323"/>
      <c r="B13" s="857" t="s">
        <v>529</v>
      </c>
      <c r="C13" s="857"/>
      <c r="D13" s="857"/>
      <c r="E13" s="857"/>
      <c r="F13" s="323"/>
    </row>
    <row r="14" spans="1:11" s="204" customFormat="1" ht="16.5" customHeight="1">
      <c r="A14" s="324" t="s">
        <v>530</v>
      </c>
      <c r="B14" s="6" t="s">
        <v>531</v>
      </c>
      <c r="C14" s="325" t="s">
        <v>525</v>
      </c>
      <c r="D14" s="6" t="s">
        <v>532</v>
      </c>
      <c r="E14" s="298" t="s">
        <v>533</v>
      </c>
      <c r="F14" s="326"/>
    </row>
    <row r="15" spans="1:11" ht="16.5" customHeight="1">
      <c r="A15" s="327" t="s">
        <v>353</v>
      </c>
      <c r="B15" s="328">
        <v>149887</v>
      </c>
      <c r="C15" s="328">
        <v>127403.95</v>
      </c>
      <c r="D15" s="328">
        <v>14988.7</v>
      </c>
      <c r="E15" s="329">
        <v>7494.35</v>
      </c>
      <c r="F15" s="330"/>
      <c r="G15" s="331"/>
      <c r="H15" s="331"/>
      <c r="I15" s="331"/>
      <c r="J15" s="331"/>
      <c r="K15" s="332"/>
    </row>
    <row r="16" spans="1:11" ht="32.25" customHeight="1">
      <c r="A16" s="136" t="s">
        <v>534</v>
      </c>
      <c r="B16" s="329">
        <v>109030</v>
      </c>
      <c r="C16" s="329">
        <v>92675.5</v>
      </c>
      <c r="D16" s="329">
        <v>10903</v>
      </c>
      <c r="E16" s="329">
        <v>5451.5</v>
      </c>
      <c r="F16" s="330"/>
      <c r="G16" s="331"/>
      <c r="H16" s="331"/>
      <c r="I16" s="331"/>
      <c r="J16" s="331"/>
      <c r="K16" s="332"/>
    </row>
    <row r="17" spans="1:11" ht="16.5" customHeight="1">
      <c r="A17" s="317" t="s">
        <v>535</v>
      </c>
      <c r="B17" s="329">
        <v>101330</v>
      </c>
      <c r="C17" s="329">
        <v>86130.5</v>
      </c>
      <c r="D17" s="329"/>
      <c r="E17" s="329">
        <v>15199.5</v>
      </c>
      <c r="F17" s="330"/>
      <c r="G17" s="331"/>
      <c r="H17" s="331"/>
      <c r="I17" s="331"/>
      <c r="J17" s="331"/>
      <c r="K17" s="332"/>
    </row>
    <row r="18" spans="1:11" ht="16.5" customHeight="1">
      <c r="A18" s="317" t="s">
        <v>536</v>
      </c>
      <c r="B18" s="329">
        <v>101825.14</v>
      </c>
      <c r="C18" s="329">
        <v>86551.360000000001</v>
      </c>
      <c r="D18" s="329"/>
      <c r="E18" s="329">
        <v>15273.78</v>
      </c>
      <c r="F18" s="330"/>
      <c r="G18" s="331"/>
      <c r="H18" s="331"/>
      <c r="I18" s="331"/>
      <c r="J18" s="331"/>
      <c r="K18" s="332"/>
    </row>
    <row r="19" spans="1:11" ht="16.5" customHeight="1">
      <c r="A19" s="317" t="s">
        <v>537</v>
      </c>
      <c r="B19" s="329">
        <v>52780</v>
      </c>
      <c r="C19" s="329">
        <v>44863</v>
      </c>
      <c r="D19" s="329">
        <v>5278</v>
      </c>
      <c r="E19" s="329">
        <v>2639</v>
      </c>
      <c r="F19" s="330"/>
      <c r="G19" s="331"/>
      <c r="H19" s="331"/>
      <c r="I19" s="331"/>
      <c r="J19" s="331"/>
      <c r="K19" s="332"/>
    </row>
    <row r="20" spans="1:11" s="271" customFormat="1" ht="16.5" customHeight="1">
      <c r="A20" s="333" t="s">
        <v>459</v>
      </c>
      <c r="B20" s="322">
        <f>SUM(B15:B19)</f>
        <v>514852.14</v>
      </c>
      <c r="C20" s="322">
        <f t="shared" ref="C20:E20" si="0">SUM(C15:C19)</f>
        <v>437624.31</v>
      </c>
      <c r="D20" s="322">
        <f t="shared" si="0"/>
        <v>31169.7</v>
      </c>
      <c r="E20" s="322">
        <f t="shared" si="0"/>
        <v>46058.13</v>
      </c>
      <c r="F20" s="334"/>
    </row>
    <row r="22" spans="1:11" ht="33" customHeight="1">
      <c r="A22" s="335" t="s">
        <v>353</v>
      </c>
      <c r="B22" s="298" t="s">
        <v>538</v>
      </c>
    </row>
    <row r="23" spans="1:11" ht="16.5" customHeight="1">
      <c r="A23" s="317" t="s">
        <v>539</v>
      </c>
      <c r="B23" s="105">
        <v>27580</v>
      </c>
    </row>
    <row r="24" spans="1:11" ht="16.5" customHeight="1">
      <c r="A24" s="317" t="s">
        <v>222</v>
      </c>
      <c r="B24" s="105">
        <v>54807</v>
      </c>
    </row>
    <row r="25" spans="1:11" ht="16.5" customHeight="1">
      <c r="A25" s="317" t="s">
        <v>455</v>
      </c>
      <c r="B25" s="105">
        <v>10900</v>
      </c>
    </row>
    <row r="26" spans="1:11" ht="16.5" customHeight="1">
      <c r="A26" s="317" t="s">
        <v>456</v>
      </c>
      <c r="B26" s="105">
        <v>56600</v>
      </c>
    </row>
    <row r="27" spans="1:11" ht="16.5" customHeight="1">
      <c r="A27" s="321" t="s">
        <v>122</v>
      </c>
      <c r="B27" s="102">
        <f>SUM(B23:B26)</f>
        <v>149887</v>
      </c>
    </row>
  </sheetData>
  <mergeCells count="4">
    <mergeCell ref="A1:D1"/>
    <mergeCell ref="C6:D6"/>
    <mergeCell ref="A7:E7"/>
    <mergeCell ref="B13:E1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D19"/>
  <sheetViews>
    <sheetView view="pageBreakPreview" zoomScaleNormal="100" zoomScaleSheetLayoutView="100" workbookViewId="0">
      <selection activeCell="B34" sqref="B34"/>
    </sheetView>
  </sheetViews>
  <sheetFormatPr defaultRowHeight="15.75"/>
  <cols>
    <col min="1" max="1" width="45.140625" style="309" customWidth="1"/>
    <col min="2" max="2" width="13.42578125" style="309" customWidth="1"/>
    <col min="3" max="3" width="45.140625" style="309" customWidth="1"/>
    <col min="4" max="4" width="13.42578125" style="309" customWidth="1"/>
    <col min="5" max="16384" width="9.140625" style="309"/>
  </cols>
  <sheetData>
    <row r="1" spans="1:4">
      <c r="A1" s="836" t="s">
        <v>215</v>
      </c>
      <c r="B1" s="836"/>
      <c r="C1" s="836"/>
      <c r="D1" s="836"/>
    </row>
    <row r="2" spans="1:4">
      <c r="A2" s="343"/>
      <c r="B2" s="343"/>
      <c r="C2" s="343"/>
      <c r="D2" s="343"/>
    </row>
    <row r="3" spans="1:4">
      <c r="A3" s="309" t="s">
        <v>541</v>
      </c>
    </row>
    <row r="4" spans="1:4">
      <c r="A4" s="271" t="s">
        <v>540</v>
      </c>
      <c r="B4" s="271"/>
    </row>
    <row r="5" spans="1:4">
      <c r="A5" s="309" t="s">
        <v>542</v>
      </c>
    </row>
    <row r="6" spans="1:4">
      <c r="A6" s="309" t="s">
        <v>543</v>
      </c>
    </row>
    <row r="7" spans="1:4">
      <c r="A7" s="309" t="s">
        <v>544</v>
      </c>
    </row>
    <row r="8" spans="1:4">
      <c r="A8" s="309" t="s">
        <v>492</v>
      </c>
    </row>
    <row r="9" spans="1:4">
      <c r="C9" s="837" t="s">
        <v>504</v>
      </c>
      <c r="D9" s="837"/>
    </row>
    <row r="10" spans="1:4" s="310" customFormat="1" ht="35.25" customHeight="1">
      <c r="A10" s="718" t="s">
        <v>545</v>
      </c>
      <c r="B10" s="718"/>
      <c r="C10" s="718"/>
      <c r="D10" s="718"/>
    </row>
    <row r="11" spans="1:4" s="343" customFormat="1">
      <c r="A11" s="311" t="s">
        <v>218</v>
      </c>
      <c r="B11" s="311" t="s">
        <v>122</v>
      </c>
      <c r="C11" s="311" t="s">
        <v>480</v>
      </c>
      <c r="D11" s="311" t="s">
        <v>122</v>
      </c>
    </row>
    <row r="12" spans="1:4">
      <c r="A12" s="183" t="s">
        <v>219</v>
      </c>
      <c r="B12" s="105">
        <v>508</v>
      </c>
      <c r="C12" s="183" t="s">
        <v>220</v>
      </c>
      <c r="D12" s="105"/>
    </row>
    <row r="13" spans="1:4">
      <c r="A13" s="183" t="s">
        <v>221</v>
      </c>
      <c r="B13" s="105">
        <v>101</v>
      </c>
      <c r="C13" s="183" t="s">
        <v>482</v>
      </c>
      <c r="D13" s="105"/>
    </row>
    <row r="14" spans="1:4">
      <c r="A14" s="183" t="s">
        <v>222</v>
      </c>
      <c r="B14" s="105">
        <v>4538</v>
      </c>
      <c r="C14" s="183" t="s">
        <v>223</v>
      </c>
      <c r="D14" s="105">
        <f>D15</f>
        <v>5202</v>
      </c>
    </row>
    <row r="15" spans="1:4">
      <c r="A15" s="183" t="s">
        <v>224</v>
      </c>
      <c r="B15" s="105">
        <v>55</v>
      </c>
      <c r="C15" s="183" t="s">
        <v>225</v>
      </c>
      <c r="D15" s="105">
        <v>5202</v>
      </c>
    </row>
    <row r="16" spans="1:4">
      <c r="A16" s="183"/>
      <c r="B16" s="105"/>
      <c r="C16" s="183" t="s">
        <v>226</v>
      </c>
      <c r="D16" s="105"/>
    </row>
    <row r="17" spans="1:4">
      <c r="A17" s="333" t="s">
        <v>546</v>
      </c>
      <c r="B17" s="102">
        <f>SUM(B12:B16)</f>
        <v>5202</v>
      </c>
      <c r="C17" s="333"/>
      <c r="D17" s="102">
        <f>D14</f>
        <v>5202</v>
      </c>
    </row>
    <row r="18" spans="1:4">
      <c r="A18" s="183" t="s">
        <v>547</v>
      </c>
      <c r="B18" s="105">
        <v>43903</v>
      </c>
      <c r="C18" s="183"/>
      <c r="D18" s="105">
        <v>43903</v>
      </c>
    </row>
    <row r="19" spans="1:4" s="271" customFormat="1">
      <c r="A19" s="313" t="s">
        <v>484</v>
      </c>
      <c r="B19" s="314">
        <f>B17+B18</f>
        <v>49105</v>
      </c>
      <c r="C19" s="313" t="s">
        <v>227</v>
      </c>
      <c r="D19" s="314">
        <f>SUM(D17:D18)</f>
        <v>49105</v>
      </c>
    </row>
  </sheetData>
  <mergeCells count="3">
    <mergeCell ref="A1:D1"/>
    <mergeCell ref="C9:D9"/>
    <mergeCell ref="A10:D1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35</vt:i4>
      </vt:variant>
      <vt:variant>
        <vt:lpstr>Névvel ellátott tartományok</vt:lpstr>
      </vt:variant>
      <vt:variant>
        <vt:i4>30</vt:i4>
      </vt:variant>
    </vt:vector>
  </HeadingPairs>
  <TitlesOfParts>
    <vt:vector size="65" baseType="lpstr">
      <vt:lpstr>1.tábla</vt:lpstr>
      <vt:lpstr>2018-2020mérleg</vt:lpstr>
      <vt:lpstr>bérkomp.</vt:lpstr>
      <vt:lpstr>kv.mérleg</vt:lpstr>
      <vt:lpstr>kötelező-nem köt </vt:lpstr>
      <vt:lpstr>intézményi.részl.  </vt:lpstr>
      <vt:lpstr>Köt.nem köt.</vt:lpstr>
      <vt:lpstr>Szem.dologi</vt:lpstr>
      <vt:lpstr>Szoc.rász.</vt:lpstr>
      <vt:lpstr>Beruházás</vt:lpstr>
      <vt:lpstr>Felújítás</vt:lpstr>
      <vt:lpstr>Int.felh</vt:lpstr>
      <vt:lpstr>Pe.átad., Kölcsönök</vt:lpstr>
      <vt:lpstr>Célf.</vt:lpstr>
      <vt:lpstr>létszám</vt:lpstr>
      <vt:lpstr>kölcsönök</vt:lpstr>
      <vt:lpstr>közv.tám.</vt:lpstr>
      <vt:lpstr>többéves</vt:lpstr>
      <vt:lpstr>Ei.felh.ütem</vt:lpstr>
      <vt:lpstr>EU tartalom</vt:lpstr>
      <vt:lpstr>Bankfalu</vt:lpstr>
      <vt:lpstr>clld_önk</vt:lpstr>
      <vt:lpstr>clld_művkp.</vt:lpstr>
      <vt:lpstr>játszóterek</vt:lpstr>
      <vt:lpstr>Móra Óvoda</vt:lpstr>
      <vt:lpstr>Zöldváros</vt:lpstr>
      <vt:lpstr>Komplex</vt:lpstr>
      <vt:lpstr>Fogl.paktum</vt:lpstr>
      <vt:lpstr>Energetika I.</vt:lpstr>
      <vt:lpstr>Energetika II.</vt:lpstr>
      <vt:lpstr>Energetika III.</vt:lpstr>
      <vt:lpstr>Ipari park</vt:lpstr>
      <vt:lpstr>EFI Iroda</vt:lpstr>
      <vt:lpstr>IPA</vt:lpstr>
      <vt:lpstr>Könyvtár</vt:lpstr>
      <vt:lpstr>'1.tábla'!Nyomtatási_cím</vt:lpstr>
      <vt:lpstr>bérkomp.!Nyomtatási_cím</vt:lpstr>
      <vt:lpstr>Beruházás!Nyomtatási_cím</vt:lpstr>
      <vt:lpstr>Felújítás!Nyomtatási_cím</vt:lpstr>
      <vt:lpstr>Int.felh!Nyomtatási_cím</vt:lpstr>
      <vt:lpstr>'intézményi.részl.  '!Nyomtatási_cím</vt:lpstr>
      <vt:lpstr>közv.tám.!Nyomtatási_cím</vt:lpstr>
      <vt:lpstr>Szem.dologi!Nyomtatási_cím</vt:lpstr>
      <vt:lpstr>Szoc.rász.!Nyomtatási_cím</vt:lpstr>
      <vt:lpstr>'1.tábla'!Nyomtatási_terület</vt:lpstr>
      <vt:lpstr>'2018-2020mérleg'!Nyomtatási_terület</vt:lpstr>
      <vt:lpstr>bérkomp.!Nyomtatási_terület</vt:lpstr>
      <vt:lpstr>Beruházás!Nyomtatási_terület</vt:lpstr>
      <vt:lpstr>Célf.!Nyomtatási_terület</vt:lpstr>
      <vt:lpstr>'EFI Iroda'!Nyomtatási_terület</vt:lpstr>
      <vt:lpstr>Ei.felh.ütem!Nyomtatási_terület</vt:lpstr>
      <vt:lpstr>'Energetika II.'!Nyomtatási_terület</vt:lpstr>
      <vt:lpstr>Felújítás!Nyomtatási_terület</vt:lpstr>
      <vt:lpstr>Int.felh!Nyomtatási_terület</vt:lpstr>
      <vt:lpstr>'intézményi.részl.  '!Nyomtatási_terület</vt:lpstr>
      <vt:lpstr>'Ipari park'!Nyomtatási_terület</vt:lpstr>
      <vt:lpstr>'Köt.nem köt.'!Nyomtatási_terület</vt:lpstr>
      <vt:lpstr>'kötelező-nem köt '!Nyomtatási_terület</vt:lpstr>
      <vt:lpstr>közv.tám.!Nyomtatási_terület</vt:lpstr>
      <vt:lpstr>kv.mérleg!Nyomtatási_terület</vt:lpstr>
      <vt:lpstr>'Pe.átad., Kölcsönök'!Nyomtatási_terület</vt:lpstr>
      <vt:lpstr>Szem.dologi!Nyomtatási_terület</vt:lpstr>
      <vt:lpstr>Szoc.rász.!Nyomtatási_terület</vt:lpstr>
      <vt:lpstr>többéves!Nyomtatási_terület</vt:lpstr>
      <vt:lpstr>Zöldváros!Nyomtatási_terület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Szlávikné Kasza Margit</dc:creator>
  <cp:lastModifiedBy>Kisné Drubi Anikó</cp:lastModifiedBy>
  <cp:lastPrinted>2020-04-01T07:24:03Z</cp:lastPrinted>
  <dcterms:created xsi:type="dcterms:W3CDTF">2017-12-22T07:52:17Z</dcterms:created>
  <dcterms:modified xsi:type="dcterms:W3CDTF">2020-04-01T07:24:09Z</dcterms:modified>
</cp:coreProperties>
</file>